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项目库汇总表" sheetId="1" r:id="rId1"/>
    <sheet name="项目库明细总表" sheetId="2" r:id="rId2"/>
  </sheets>
  <definedNames>
    <definedName name="_xlnm._FilterDatabase" localSheetId="1" hidden="1">项目库明细总表!$A$5:$T$450</definedName>
    <definedName name="_xlnm.Print_Titles" localSheetId="1">项目库明细总表!$3:$4</definedName>
    <definedName name="_xlnm.Print_Titles" localSheetId="0">项目库汇总表!$4:$5</definedName>
    <definedName name="_xlnm._FilterDatabase" localSheetId="0" hidden="1">项目库汇总表!$A$5:$XFB$114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<sst xmlns="http://schemas.openxmlformats.org/spreadsheetml/2006/main" count="5241" uniqueCount="1671">
  <si>
    <t>附件1</t>
  </si>
  <si>
    <t>2024年府谷县巩固拓展脱贫攻坚成果和乡村振兴项目库汇总表</t>
  </si>
  <si>
    <t>单位：个、万元</t>
  </si>
  <si>
    <t>项目类型</t>
  </si>
  <si>
    <t>二级项目类型</t>
  </si>
  <si>
    <t>项目子类型</t>
  </si>
  <si>
    <t>项目个数</t>
  </si>
  <si>
    <t>项目预算总投资</t>
  </si>
  <si>
    <t>备注</t>
  </si>
  <si>
    <t>合计</t>
  </si>
  <si>
    <t>1.衔接资金</t>
  </si>
  <si>
    <t>2.其他资金</t>
  </si>
  <si>
    <t>总计：</t>
  </si>
  <si>
    <t>产业发展</t>
  </si>
  <si>
    <t>合计：</t>
  </si>
  <si>
    <t>生产项目</t>
  </si>
  <si>
    <t>小计：</t>
  </si>
  <si>
    <t>种植业基地</t>
  </si>
  <si>
    <t>养殖业基地</t>
  </si>
  <si>
    <t>水产养殖业发展</t>
  </si>
  <si>
    <t>林草基地建设</t>
  </si>
  <si>
    <t>休闲农业与乡村旅游</t>
  </si>
  <si>
    <t>光伏电站建设</t>
  </si>
  <si>
    <t>加工流通项目</t>
  </si>
  <si>
    <t>农产品仓储保鲜冷链基础设施建设</t>
  </si>
  <si>
    <t>加工业</t>
  </si>
  <si>
    <t>市场建设和农村物流</t>
  </si>
  <si>
    <t>品牌打造和展销平台</t>
  </si>
  <si>
    <t>配套设施项目</t>
  </si>
  <si>
    <t>小型农田水利设施建设</t>
  </si>
  <si>
    <t>产业园（区）</t>
  </si>
  <si>
    <t>产业服务支撑项目</t>
  </si>
  <si>
    <t>智慧农业</t>
  </si>
  <si>
    <t>科技服务</t>
  </si>
  <si>
    <t>人才培养</t>
  </si>
  <si>
    <t>农业社会化服务</t>
  </si>
  <si>
    <t>金融保险配套项目</t>
  </si>
  <si>
    <t>小额贷款贴息</t>
  </si>
  <si>
    <t>小额信贷风险补偿金</t>
  </si>
  <si>
    <t>特色产业保险保费补助</t>
  </si>
  <si>
    <t>新型经营主体贷款贴息</t>
  </si>
  <si>
    <t>其他</t>
  </si>
  <si>
    <t>就业项目</t>
  </si>
  <si>
    <t>务工补助</t>
  </si>
  <si>
    <t>交通费补助</t>
  </si>
  <si>
    <t>生产奖补、劳务补助等</t>
  </si>
  <si>
    <t>就业</t>
  </si>
  <si>
    <t>帮扶车间（特色手工基地）建设</t>
  </si>
  <si>
    <t>技能培训</t>
  </si>
  <si>
    <t>以工代训</t>
  </si>
  <si>
    <t>创业</t>
  </si>
  <si>
    <t>创业培训</t>
  </si>
  <si>
    <t>创业奖补</t>
  </si>
  <si>
    <t>乡村工匠</t>
  </si>
  <si>
    <t>乡村工匠培育培训</t>
  </si>
  <si>
    <t>乡村工匠大师工作室</t>
  </si>
  <si>
    <t>乡村工匠传习所</t>
  </si>
  <si>
    <t>公益性岗位</t>
  </si>
  <si>
    <t>乡村建设行动</t>
  </si>
  <si>
    <t>农村基础设施
（含产业配套基础设施）</t>
  </si>
  <si>
    <t>村庄规划编制（含修编）</t>
  </si>
  <si>
    <t>农村道路建设（通村路、通户路、小型桥梁等）</t>
  </si>
  <si>
    <t>产业路、资源路、旅游路建设</t>
  </si>
  <si>
    <t>农村供水保障设施建设</t>
  </si>
  <si>
    <t>农村电网建设（通生产、生活用电、提高综合电压和供电可靠性）</t>
  </si>
  <si>
    <t>数字乡村建设（信息通信基础设施建设、数字化、智能化建设等）</t>
  </si>
  <si>
    <t>农村清洁能源设施建设（燃气、户用光伏、风电、水电、农村生物质能源、北方地区清洁取暖等）</t>
  </si>
  <si>
    <t>农业农村基础设施中长期贷款贴息</t>
  </si>
  <si>
    <t>人居环境整治</t>
  </si>
  <si>
    <t>农村卫生厕所改造（户用、公共厕所）</t>
  </si>
  <si>
    <t>农村污水治理</t>
  </si>
  <si>
    <t>农村垃圾治理</t>
  </si>
  <si>
    <t>村容村貌提升</t>
  </si>
  <si>
    <t>农村公共服务</t>
  </si>
  <si>
    <t>学校建设或改造（含幼儿园）</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</si>
  <si>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</si>
  <si>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</si>
  <si>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</si>
  <si>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</si>
  <si>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</si>
  <si>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易地搬迁后扶</t>
  </si>
  <si>
    <t>公共服务岗位</t>
  </si>
  <si>
    <t>“一站式”社区综合服务设施建设</t>
  </si>
  <si>
    <t>易地扶贫搬迁贷款债券贴息补助</t>
  </si>
  <si>
    <t>巩固三保障成果</t>
  </si>
  <si>
    <t>住房</t>
  </si>
  <si>
    <t>农村危房改造等农房改造</t>
  </si>
  <si>
    <t>教育</t>
  </si>
  <si>
    <t>享受“雨露计划”职业教育补助</t>
  </si>
  <si>
    <t>参与“学前学会普通话”行动</t>
  </si>
  <si>
    <t>其他教育类项目</t>
  </si>
  <si>
    <t>健康</t>
  </si>
  <si>
    <t>参加城乡居民基本医疗保险</t>
  </si>
  <si>
    <t>参加大病保险</t>
  </si>
  <si>
    <t>参加意外保险</t>
  </si>
  <si>
    <t>参加其他补充医疗保险</t>
  </si>
  <si>
    <t>接受医疗救助</t>
  </si>
  <si>
    <t>接受大病、慢性病(地方病)救治</t>
  </si>
  <si>
    <t>综合保障</t>
  </si>
  <si>
    <t>享受农村居民最低生活保障</t>
  </si>
  <si>
    <t>参加城乡居民基本养老保险</t>
  </si>
  <si>
    <t>享受特困人员救助供养</t>
  </si>
  <si>
    <t>接受留守关爱服务</t>
  </si>
  <si>
    <t>接受临时救助</t>
  </si>
  <si>
    <t>防贫保险（基金）</t>
  </si>
  <si>
    <t>乡村治理和精神文明建设</t>
  </si>
  <si>
    <t>乡村治理</t>
  </si>
  <si>
    <t>开展乡村治理示范创建</t>
  </si>
  <si>
    <t>推进“积分制”“清单式”等管理方式</t>
  </si>
  <si>
    <t>农村精神文明建设</t>
  </si>
  <si>
    <t>培养“四有”新时代农民</t>
  </si>
  <si>
    <t>移风易俗</t>
  </si>
  <si>
    <t>科技文化卫生“三下乡”</t>
  </si>
  <si>
    <t>农村文化体育项目</t>
  </si>
  <si>
    <t>项目管理费</t>
  </si>
  <si>
    <t>少数民族特色村寨建设项目</t>
  </si>
  <si>
    <t>困难群众饮用低氟茶</t>
  </si>
  <si>
    <t>……</t>
  </si>
  <si>
    <t>附件2</t>
  </si>
  <si>
    <t>2024年府谷县巩固拓展脱贫攻坚成果和乡村振兴项目库明细表</t>
  </si>
  <si>
    <t>序号</t>
  </si>
  <si>
    <t>项目名称
（自定义名称）</t>
  </si>
  <si>
    <t>项目摘要
（建设内容及规模）</t>
  </si>
  <si>
    <t>项目实施地点</t>
  </si>
  <si>
    <t>项目预投资（万元）</t>
  </si>
  <si>
    <t>是否易地搬迁后扶项目</t>
  </si>
  <si>
    <t>总受益情况</t>
  </si>
  <si>
    <t>其中：脱贫户（监测对象）受益情况</t>
  </si>
  <si>
    <t>绩效目标</t>
  </si>
  <si>
    <t>项目实施单位</t>
  </si>
  <si>
    <t>行业主管部门</t>
  </si>
  <si>
    <t>镇/办</t>
  </si>
  <si>
    <t>村/社区</t>
  </si>
  <si>
    <t>户数</t>
  </si>
  <si>
    <t>人数</t>
  </si>
  <si>
    <t>2024年度哈镇陈家圪堵村集体经济合作社特色农作物种植基地建设项目</t>
  </si>
  <si>
    <t>在陈家圪堵村流转土地470亩，进行土地深松、增施有机肥，种植油籽140亩、荞麦330亩。</t>
  </si>
  <si>
    <t>哈镇</t>
  </si>
  <si>
    <t>陈家圪堵村</t>
  </si>
  <si>
    <t>否</t>
  </si>
  <si>
    <t>该项目产权归村集体所有，项目实施后，预计亩均增收100元，带动村集体年增收2万元，受益农户512户1270人，其中脱贫户34户70人，监测户1户1人。村集体经济收益分配为：10%作为项目可持续发展资金，剩余的90%作为人口股、土地股、集体股、脱贫户优先股的利润分红，其中收益的5%优先分配于以土地入股的村民，2%作为脱贫户和监测户优先股，剩余按人头股进行分红。</t>
  </si>
  <si>
    <t>哈镇人民政府</t>
  </si>
  <si>
    <t>农业农村局</t>
  </si>
  <si>
    <t>推广以工代赈方式实施</t>
  </si>
  <si>
    <t>2024年度哈镇店塔村集体经济合作社小杂粮种植基地建设项目</t>
  </si>
  <si>
    <t>在店塔村平整土地50亩，种植高粱35亩、玉米15亩。需要购买高粱籽种150斤、玉米籽种75斤，化肥25000斤。</t>
  </si>
  <si>
    <t>店塔村</t>
  </si>
  <si>
    <t>该项目产权归村集体所有，项目建成后，可通过铺设地膜、实施抗旱保水剂，增强土壤蓄水保墒和抗旱能力，亩均增收200元，预计村集体经济增收1.6万元。受益农户355户879人，其中脱贫户12户23人，监测户1户2人，亩均增收200元。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</si>
  <si>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2024年度哈镇糜茬焉村集体经济合作社特色山地红葱种植基地建设项目</t>
  </si>
  <si>
    <t>在糜茬焉村种植优质山地红葱50亩，并购买葱籽5000斤、施肥10000斤、深耕、除草等。</t>
  </si>
  <si>
    <t>糜茬焉村</t>
  </si>
  <si>
    <t>该项目产权归村集体所有，项目完成后收益归合作社所有，通过深耕、人工种植、施肥、除草、带动当地集体经济增收，提高村集体经济收益，按亩产村集体经济年收益可增加10万元，项目实施过程中可以雇佣本村村民和脱贫劳动力务工，增加部分村民收入。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</si>
  <si>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2024年度哈镇硬路塔村500亩玉米种植项目</t>
  </si>
  <si>
    <t>深耕土地500亩，购买种子1000斤，有机肥200吨，覆盖地膜500亩，配套滴灌500亩。</t>
  </si>
  <si>
    <t>硬路塔村</t>
  </si>
  <si>
    <t>该项目产权归村集体所有，通过铺设地膜、实施抗旱保水剂，增强土壤蓄水保墒和抗旱能力，亩均增收200元，预计村集体经济增收1.6万元。受益农户366户，其中脱贫户15户37人监测户1户4人。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</si>
  <si>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2024年度哈镇硬路塔村集体经济合作社特色品种贝贝南瓜种植基地建设项目</t>
  </si>
  <si>
    <t>在硬路塔西湾村种植200亩贝贝南瓜，并配套滴灌带160卷、水肥一体机1台；购买并掩埋2寸管道3000米，1.5寸管道7600米，地膜1000斤，购买阀门、水泵等配套设施。</t>
  </si>
  <si>
    <t>该项目产权归村集体所有，项目建成后，预计实现南瓜亩产增收10斤，带动村集体增收2万元。受益农户366户，其中脱贫户15户37人监测户1户4人。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</si>
  <si>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2024年度哈镇硬路塔村集体经济合作社果园提升改造项目</t>
  </si>
  <si>
    <t>为现有的300亩果园安装长2000米、高2米的铁丝网栏，铺设150捆积水膜。</t>
  </si>
  <si>
    <t>该项目产权归村集体所有，项目建成后，大大改善硬路塔村果园挂果，增加果园产量，预计村集体经济增收0.54万元。受益农户366户，其中脱贫户15户37人监测户1户4人。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</si>
  <si>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2024年度哈镇戏楼沟村集体经济合作社特色山地红葱种植基地建设项目</t>
  </si>
  <si>
    <t>在戏楼沟村白家圪旦自然村种植山地红葱20亩，并购买葱籽2000斤、施肥4000斤、深耕、除草等。</t>
  </si>
  <si>
    <t>戏楼沟村</t>
  </si>
  <si>
    <t>该项目产权归村集体所有，项目完成后收益归合作社所有，通过深耕、人工种植、施肥、除草、带动当地集体经济增收，提高村集体经济收益，按亩产村集体经济年收益可增加0.5万元，项目实施过程中可以雇佣本村村民和脱贫劳动力务工，增加部分村民收入。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</si>
  <si>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2024年度黄甫镇黄甫村集体经济联合社旱作节水农业项目</t>
  </si>
  <si>
    <t>黄甫村集体种植玉米300亩，高粱200亩，配套抽水泵、地下管网、主管道、滴灌带、水肥一体设施和电力等配套设施。</t>
  </si>
  <si>
    <t>黄甫镇</t>
  </si>
  <si>
    <t>黄甫村</t>
  </si>
  <si>
    <t>该项目产权归村集体所有，大力提升用水效率，精准施肥、增加作物产量，亩均增收300元。受益农户575户1314人，其中脱贫户6户8人，监测户1户2人。</t>
  </si>
  <si>
    <t>2024年度碛塄农业园区碛塄经济联合社日光温室大棚建设项目</t>
  </si>
  <si>
    <t>新建日光温室大棚6个，占地8亩，大棚长60米，宽12米，高5米，配套排水等。</t>
  </si>
  <si>
    <t>碛塄农业园区</t>
  </si>
  <si>
    <t>碛塄村</t>
  </si>
  <si>
    <t>产权归集体所有，发展村集体经济，增加收入，促进村集体经济收入增长，提供就业岗位，带动群众致富。受益群众443户1123人，其中脱贫户10户19人，预计收入10万元，提取10%为公积公益金，40%后期管护打理工作，股东红利分配按照50%。</t>
  </si>
  <si>
    <t>示范村项目</t>
  </si>
  <si>
    <t>2024年度碛塄农业园区郝家寨村经济联合社单弓单臂蓄热水箱装配式日光温室项目</t>
  </si>
  <si>
    <t>建设单弓单臂蓄热水箱装配式日光温室大棚5座，建设规模长12米、宽60米、高5.5米，占地8.5亩，配套水肥电路等相关设施。</t>
  </si>
  <si>
    <t>郝家寨村</t>
  </si>
  <si>
    <t>产权归村集体所有，大棚建成后每年增加村集体收入不低于13万元，有益于增加村民收入以及村民就业岗位，也助于集体产业发展壮大，受益户403户976人，其中脱贫户13户23人。提取25%为公积公益金，75%股东红利分配。</t>
  </si>
  <si>
    <t>2024年度墙头农业园区尧渠村联合社高标准果园建设项目</t>
  </si>
  <si>
    <t>种植苹果树、海红果树等35亩，果园700米铁丝围栏，500米塑料软管，一体式履带式耕地机。</t>
  </si>
  <si>
    <t>墙头农业园区</t>
  </si>
  <si>
    <t>尧渠村</t>
  </si>
  <si>
    <t>产权归村集体经济联合社，建成高标准果园后，预计联合社可增收3万元。在确保产业项目持续发展的前提下，收益的70%用于产业扶持产业后续发展，30%用于集体经济合作社分红。带动62户185人，其中脱贫户8户15人，增加收入，稳固脱贫成果。</t>
  </si>
  <si>
    <t>村集体消薄培强项目</t>
  </si>
  <si>
    <t>2024年度墙头农业园区前园则村合作社经济林改造项目</t>
  </si>
  <si>
    <t>改造小字组300亩经济林，包括果树嫁接、果园除草、管护等。</t>
  </si>
  <si>
    <t>前园则村</t>
  </si>
  <si>
    <t>产权归村集体经济合作社，改造后预计村集体经济合作社增收5万元。在确保产业项目持续发展的前提下，收益的70%用于产业扶持产业后续发展，30%用于集体经济合作社分红。带动287户936人，其中脱贫户15户42人、监测户2户4人，增加收入，稳固脱贫成果。</t>
  </si>
  <si>
    <t>村集体消薄培强项目、推广以工代赈方式实施</t>
  </si>
  <si>
    <t>2024年度麻镇便民服务中心刘家坪村集体合作社种植400亩红薯基地项目</t>
  </si>
  <si>
    <t>在刘家坪村流转土地400亩，增施有机肥、地膜覆盖，购买优质红薯种子烟薯25号，种植烟薯25号400亩。</t>
  </si>
  <si>
    <t>麻镇便民服务中心</t>
  </si>
  <si>
    <t>刘家坪村</t>
  </si>
  <si>
    <t>产权归村集体所有。深耕改良农田400亩；增施有机肥，受益农户453户1121，其中脱贫户14户31人，户均增收300元，收益分配以分红及以工代赈方式不低于收益的26%进行分配。</t>
  </si>
  <si>
    <t>2024年度麻镇便民服务中心前尧湾村集体经济合作社400亩果园提升改造项目</t>
  </si>
  <si>
    <t>140亩果园提升改造，包含浇水、剪枝、施肥、铺设除草布。</t>
  </si>
  <si>
    <t>前尧湾村</t>
  </si>
  <si>
    <t>该项目产权归村集体所有，保障前尧湾村集体经济联合社140亩果园后续管护到位，预计140亩果园年增收8万元，带动380户1020人（其中脱贫户17户30人、监测户1户1人）经济稳定增收。</t>
  </si>
  <si>
    <t>2024年碛塄农业园区王家洼村经济联合社玉米种植基地配套项目</t>
  </si>
  <si>
    <t>本村现有1500亩玉米种植基地配套雷沃4YL-7M（G4）自走式玉米籽粒联合收获机一台、利欲丰9QZ-2050A青储机一台。服务辐射周边乡镇。</t>
  </si>
  <si>
    <t>王家洼村</t>
  </si>
  <si>
    <t>产权归村集体所有。完善生产基础设施，确保农业生产正常开展，提升村民基础收入，预计年收益12万元。预估总收益的10％用于聘用村内脱贫劳动力开展对小杂粮种植基地后期管护打理工作，提取10%为公积公益金，股东红利分配按照80%。受益群众200户556人，其中脱贫户10户21人。</t>
  </si>
  <si>
    <t>2024年清水镇清水村集体经济联合社种植基地旱作节水建设项目</t>
  </si>
  <si>
    <r>
      <rPr>
        <sz val="14"/>
        <rFont val="仿宋"/>
        <charset val="134"/>
      </rPr>
      <t>为提升300亩农田产能，建300m</t>
    </r>
    <r>
      <rPr>
        <sz val="14"/>
        <rFont val="宋体"/>
        <charset val="134"/>
      </rPr>
      <t>³</t>
    </r>
    <r>
      <rPr>
        <sz val="14"/>
        <rFont val="仿宋"/>
        <charset val="134"/>
      </rPr>
      <t>钢筋混凝土高位水池1座，用1000米输水钢管与现有截潜流井连接，配套30米（5米）扬程水泵1台、DE200PVC管234米，DE150PVC管935米，DE110PVC管2103米，DE75PVC管2920米，滴管带40876米，阀门井12个，变压器1台等设施。</t>
    </r>
  </si>
  <si>
    <t>清水镇</t>
  </si>
  <si>
    <t>清水村</t>
  </si>
  <si>
    <t>产权为村集体所有，提升300亩农田种植效益，亩均产量增加500公斤，亩均收益增加1000元以上，受益群众147户385人、脱贫户7户9人</t>
  </si>
  <si>
    <t>清水镇人民政府</t>
  </si>
  <si>
    <t>2024年田家寨镇经济联合总社花菇SC认证加工基地整体提升改造及设备购置项目</t>
  </si>
  <si>
    <t>改造建设原料暂存间、分选间、清洗间、烘干间、内外包间、实验室、内外包材库、晾晒场地等。具体内容包括：puc吊顶207㎡，处理围墙296㎡，铝合金隔墙95㎡，子母防盗门32㎡,环氧树脂地面320㎡，厂房整体电路改造，上下水水路改造，晾晒场地硬化等；购买紫外线灯，3P柜机、化验设备、叉车等；SC认证、绿色食品认证相关技术服务。</t>
  </si>
  <si>
    <t>田家寨镇</t>
  </si>
  <si>
    <t>田家寨村</t>
  </si>
  <si>
    <t>项目建成后产权属于田家寨镇经济联合总社，充分发挥联合总社的带动作用，提高香菇大棚及双膜拱棚产出效益，预计增收3万以上，在确保产业项目持续发展的前提下，其中70%用于产业扶持产业后续发展，30%用于集体经济联合社分红。巩固脱贫成果，壮大集体经济，带动全镇3842户10430人农户，其中脱贫户294户640人，充分吸纳村内剩余贫困劳动力务工约20人，增加工资收入1万/人，稳固脱贫成果。</t>
  </si>
  <si>
    <t>田家寨镇人民政府</t>
  </si>
  <si>
    <t>2024年度哈镇哈镇村村集体经济合作社保鲜冷库建设项目</t>
  </si>
  <si>
    <t>在哈镇村新建保鲜冷库3间，单间长6米，宽3米，高4米；共配套制冷机3台，配套（3*35+1*16）电缆线60米。</t>
  </si>
  <si>
    <t>哈镇村</t>
  </si>
  <si>
    <t>该项目产权归村集体所有，项目建成后，预计储存葡萄、豆角、青椒等农产品10万斤，错峰销售后预计收益可增加3万元左右，带动户数622户1510人，其中脱贫户52户86人。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</si>
  <si>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2024年田家寨镇经济联合总社香菇菌棒购置项目</t>
  </si>
  <si>
    <t>计划在联合总社10座香菇种植大棚内投放10万棒香菇菌棒。</t>
  </si>
  <si>
    <t>胡家沟村</t>
  </si>
  <si>
    <t>项目建成后产权属于田家寨镇经济联合总社，充分发挥联合总社的持续带动作用，提高香菇大棚及双膜拱棚产出效益，预计增收1.8万以上，巩固脱贫成果，壮大集体经济，带动全镇3842户10430人农户，其中脱贫户294户640人，充分吸纳村内剩余贫困劳动力务工约10人，增加工资性收入0.5万/人，稳固脱贫成果。</t>
  </si>
  <si>
    <t>2024年田家寨镇旱作集成农作物（玉米、谷子、高粱）种植项目</t>
  </si>
  <si>
    <t>在李岔、刘家畔、东沟、南门、兴旺庄、张圪崂、胡家沟7个村计划种植5000亩旱作集成农作物（玉米、谷子、高粱）。</t>
  </si>
  <si>
    <t>各村</t>
  </si>
  <si>
    <t>项目建成后产权属于各行政集体经济联合社，由涉及村集体经济联合社具体负责实施；预计增加收入7.2万元，带动全镇3842户10430人农户，其中脱贫户（监测户）294户640人，充分吸纳村内剩余贫困劳动力务工，巩固脱贫成果，进一步壮大集体经济。</t>
  </si>
  <si>
    <t>旱作集成技术推广项目</t>
  </si>
  <si>
    <t>2024年度武家庄镇高庄则村集体经济联合社玉米种植基地旱作节水技术建设项目</t>
  </si>
  <si>
    <r>
      <rPr>
        <sz val="14"/>
        <rFont val="仿宋"/>
        <charset val="134"/>
      </rPr>
      <t>计划新建灌溉面积714亩，配套1000m</t>
    </r>
    <r>
      <rPr>
        <sz val="14"/>
        <rFont val="宋体"/>
        <charset val="134"/>
      </rPr>
      <t>³</t>
    </r>
    <r>
      <rPr>
        <sz val="14"/>
        <rFont val="仿宋"/>
        <charset val="134"/>
      </rPr>
      <t>蓄水池、敷设dn160*6 高密度PE给水管1.60MPa管长1410m,购买及安装Φ160HDPE管、0.8MPa管长4464m；支供水管管道购买及安装Φ110HDPE管、0.8MPa管长2304m，购买及安装Φ110HDPE管、0.8MPa立管长108m；田间支管道购买及安装110PE软带、0.3MPa管长5200m,安装过滤、施肥系统一套，购买及安装100KVA变压器一台，架设10KV高压供电线路0.71km。</t>
    </r>
  </si>
  <si>
    <t>武家庄镇</t>
  </si>
  <si>
    <t>高庄则村</t>
  </si>
  <si>
    <t>产权归村集体所有，壮大村集体经济收入，受益群众486户1436人，其中脱贫户16户30人，预计带动村集体经济年增收17万元，收益的30%用于提取公积公益金，30%用于壮大集体经济联合社，40%用于村内分红。</t>
  </si>
  <si>
    <t>旱作节水项目</t>
  </si>
  <si>
    <t>2024年度武家庄镇郭家庄则村经济联合社林果提升改造项目</t>
  </si>
  <si>
    <t>对郭家庄则100亩花椒和260亩红桃进行施肥、浇水、除病虫及日常管护、补栽等。</t>
  </si>
  <si>
    <t>郭家庄则村</t>
  </si>
  <si>
    <t>产权归村集体经济所有，进一步巩固集体产业，增加效益，预计每年为村集体经济增加收入5万元，受益群众302户776人，其中脱贫户16户26人，收益的30%用于提取公积公益金，30%用于壮大集体经济联合社，40%用于村内分红。</t>
  </si>
  <si>
    <t>武家庄镇人民政府</t>
  </si>
  <si>
    <t>2024年武家庄镇郝家塔村经济联合社果园提升改造项目</t>
  </si>
  <si>
    <t>对流转回村集体经济合作社1022亩果园进行打药、剪枝、除草、耕地等管护等，并对其中400亩进行精细化管理。</t>
  </si>
  <si>
    <t>郝家塔村</t>
  </si>
  <si>
    <t>产权归村集体经济组织所有，进一步巩固集体产业，增加林果效益，预计每年增加村集体经济收入2万元，受益群众425户1085人（其中脱贫户10户25人，监测对象3户7人），收益的30%用于提取公积公益金，30%用于壮大集体经济联合社，40%用于村内分红。</t>
  </si>
  <si>
    <t>2024年新民镇新城川村大棚建设项目</t>
  </si>
  <si>
    <t>新建双膜拱棚10座，大棚规格为长60米，宽12米。配套15立方米水泥蓄水池1座，扬程50米水泵1台，三相四线电线1公里。配套滴灌设施1套，砖砌生产道路300米。</t>
  </si>
  <si>
    <t>新民镇</t>
  </si>
  <si>
    <t>新城川村</t>
  </si>
  <si>
    <t>该项目产权归新城川村集体经济联合社所有，持续发展壮大村集体经济项目，促进集体经济收入增加约15万元，带动群众参与集体经济发展建设，增加群众收入，带动脱贫户8户8人，巩固脱贫成果。</t>
  </si>
  <si>
    <t>新民镇人民政府</t>
  </si>
  <si>
    <t>2024年新民镇陈庄村集体经济联合社果园提升改造项目</t>
  </si>
  <si>
    <t>对陈庄村集体经济联合社沙壕墕320亩杏园进行中耕除草、配方施肥、梳枝整形、病虫害防治，提高林果品质和挂果率，增加集体收益。</t>
  </si>
  <si>
    <t>陈庄村</t>
  </si>
  <si>
    <t>该项目产权归集体所有，对现有200亩杏园进行除草、浇水管护，提高林果品质和挂果率，提高果园效益，每年增加村集体经济收入2万元。受益552户1636人，其中脱贫户10户18人。</t>
  </si>
  <si>
    <t>2024年木瓜镇经济联合总社糜谷生产基地提质增效建设项目</t>
  </si>
  <si>
    <t>利用新平整的13000余亩（其中大柳树墕2640亩，尧坬坡993亩，木瓜411亩，前梁3507亩，阳坬2993亩，柳沟704亩，台问沟1482亩，王家峁1405亩）土地，种植糜子8000亩，谷子5000余亩，购买籽种、增施有机肥。</t>
  </si>
  <si>
    <t>木瓜镇</t>
  </si>
  <si>
    <t>大柳树墕村</t>
  </si>
  <si>
    <t>该项目产权归集体联合总社所有，项目建成后，按照不低于6%的收益，预计年收益9.6万元；按照村集体经济收益分配方案，75%资金用于分红，10%资金用于村内公益性岗位开发补助，10%资金用于发展壮大再生产,5%资金用于风险基金。预计有农户4479户12162人受益，其中脱贫户196户419人。</t>
  </si>
  <si>
    <t>木瓜镇人民政府</t>
  </si>
  <si>
    <t>2024年度木瓜镇大柳树墕村集体经济合作社鸡心果树种植项目</t>
  </si>
  <si>
    <t>充分利用大柳树墕村二道峁坝取土平地及两面山坡种植200亩鸡心果树，地径5公分，配套除草布10万平方米；配套11千瓦水泵一台，1寸PE管1500米。</t>
  </si>
  <si>
    <t>该项目产权归村集体所有，由村集体负责后续管护。项目完成后，挂果预计亩产150斤，可带动村集体年增收5万元，按照村集体经济收益分配方案，75%资金用于分红，10%资金用于村内公益性岗位开发补助，10%资金用于发展壮大再生产,5%资金用于风险基金。受益农户381户993人，其中脱贫户15户31人。</t>
  </si>
  <si>
    <t>2024年度木瓜镇前梁村集体经济合作社鸡心果种植基地建设项目</t>
  </si>
  <si>
    <t>在前梁董家沟村实施种植鸡心果200亩，地径5公分，并配套除草布10万平方米；配套11千瓦水泵一台，1寸PE管1500米。</t>
  </si>
  <si>
    <t>前梁村</t>
  </si>
  <si>
    <t>该项目产权归村集体所有，由村集体负责后续管护。项目实施后，挂果预计亩产150斤，带动集体效益增收5万元。按照村集体经济收益分配方案，75%资金用于分红，10%资金用于村内公益性岗位开发补助，10%资金用于发展壮大再生产,5%资金用于风险基金。预计有农户68户194人受益，其中脱贫户7户11人。</t>
  </si>
  <si>
    <t>2024年度木瓜镇阳坬村集体经济合作社道地药材科技示范基地建设项目</t>
  </si>
  <si>
    <t>在阳坬村种植酸枣300亩，亩栽一年生苗高均45公分苗350株；配套2.5寸水泵一台，主管道2.5寸PVC管3万米，35公分PE滴灌管15万米，防草布15万平米，实验建设道地药材科技示范基地。</t>
  </si>
  <si>
    <t>阳坬村</t>
  </si>
  <si>
    <t>该项目产权归村集体所有，施工方负责5年管护，5年后移交集体管护。项目建成后，按照不低于6%的收取，按照村集体经济收益分配方案，75%资金用于分红，10%资金用于村内公益性岗位开发补助，10%资金用于发展壮大再生产,5%资金用于风险基金。预计收益4.5万元。预计有农户81户274人受益，其中脱贫户8户12人。</t>
  </si>
  <si>
    <t>2024年度木瓜镇柳沟村集体经济合作社万亩有机糜谷基地旱作集成技术推广项目</t>
  </si>
  <si>
    <t>在万亩有机糜谷基地柳沟村段推广旱作集成技术种植增密度玉米500亩，通过增施有机肥、地膜覆盖、抗旱保水剂等措施，提高农作物抗旱保水能力。</t>
  </si>
  <si>
    <t>柳沟村</t>
  </si>
  <si>
    <t>该项目产权归村集体所有，通过铺设地膜、实施抗旱保水剂，增强土壤蓄水保墒和抗旱能力，增加粮食产量，充分带动当地集体经济增收亩均增收500元。按照村集体经济收益分配方案，75%资金用于分红，10%资金用于村内公益性岗位开发补助，10%资金用于发展壮大再生产,5%资金用于风险基金。受益农户385户1017人，其中脱贫户（监测户）11户24人。</t>
  </si>
  <si>
    <t>2024年度木瓜镇阳坬村集体经济合作社万亩有机糜谷基地旱作集成技术推广项目</t>
  </si>
  <si>
    <t>在万亩有机糜谷基地阳坬村段推广旱作集成技术种植增密度玉米360亩，通过地膜覆盖、膜下滴灌、抗旱保水剂等措施，提高农作物抗旱保水能力。</t>
  </si>
  <si>
    <t>该项目产权归村集体所有，过铺设地膜、实施抗旱保水剂，增强土壤蓄水保墒和抗旱能力，增加粮食产量，充分带动当地集体经济增收亩均增收500元。按照村集体经济收益分配方案，75%资金用于分红，10%资金用于村内公益性岗位开发补助，10%资金用于发展壮大再生产,5%资金用于风险基金。收益农户119户374人，其中脱贫户6户14人。</t>
  </si>
  <si>
    <t>2024年木瓜镇常塔村集体经济合作社万亩有机糜谷基地旱作集成农业种植项目</t>
  </si>
  <si>
    <t>在万亩有机糜谷基地常塔村段推广旱作集成技术种植增密度玉米2000亩，通过地膜覆盖、膜下滴灌、抗旱保水剂等措施，提高农作物抗旱保水能力。</t>
  </si>
  <si>
    <t>常塔村</t>
  </si>
  <si>
    <t>该项目产权归村集体所有，过铺设地膜、实施抗旱保水剂，增强土壤蓄水保墒和抗旱能力，增加粮食产量，充分带动当地集体经济增收亩均增收500元。按照村集体经济收益分配方案，75%资金用于分红，10%资金用于村内公益性岗位开发补助，10%资金用于发展壮大再生产,5%资金用于风险基金。收益农户298户928人，其中脱贫户15户39人。</t>
  </si>
  <si>
    <t>2024年三道沟镇玉则墕村集体经济联合社玉米种植基地建设项目</t>
  </si>
  <si>
    <t>在玉则墕村推广旱作集成技术，种植增密度玉米180亩，主要内容为选择耐旱作物品种、增施有机肥、抗旱保水剂，地膜。</t>
  </si>
  <si>
    <t>三道沟镇</t>
  </si>
  <si>
    <t>玉则墕村</t>
  </si>
  <si>
    <t>该项目通过铺设地膜、实施抗旱保水剂，增强土壤蓄水保墒和抗旱能力，增加粮食产量，充分带动村集体经济增收，预计年收益1万元。按照村集体经济收益分配方案，75%资金用于分红，10%资金用于村内公益性岗位开发补助，10%资金用于发展壮大再生产,5%资金用于风险基金。预计有农户434户1227人受益，其中：脱贫户7户15人、监测户1户3人。</t>
  </si>
  <si>
    <t>三道沟镇人民政府</t>
  </si>
  <si>
    <t>2024年三道沟镇阳湾村集体经济联合社玉米种植基地建设项目</t>
  </si>
  <si>
    <t>在阳湾村推广旱作集成技术，种植增密度玉米820亩，主要内容为选择耐旱作物品种、增施有机肥、抗旱保水剂，地膜。</t>
  </si>
  <si>
    <t>阳湾村</t>
  </si>
  <si>
    <t>该项目通过铺设地膜、实施抗旱保水剂，增强土壤蓄水保墒和抗旱能力，增加粮食产量，充分带动村集体经济增收，预计年收益4万元。按照村集体经济收益分配方案，75%资金用于分红，10%资金用于村内公益性岗位开发补助，10%资金用于发展壮大再生产,5%资金用于风险基金。预计有农户545户1475人受益，其中:脱贫户12户28人。</t>
  </si>
  <si>
    <t>2024年三道沟镇新庙村集体经济联合社果园提升改造项目</t>
  </si>
  <si>
    <t>对新庙村480亩果园进行提升改造，主要实施浇水、剪枝、施肥、铺设除草布、松土、补栽等措施。</t>
  </si>
  <si>
    <t>新庙村</t>
  </si>
  <si>
    <t>产权归集体所有，项目实施后能有效加强现有果园种植基地管护，提升果园种植经济效益。预计有农户503户1419人受益，其中脱贫户4户8人。</t>
  </si>
  <si>
    <t>示范村项目、推广以工代赈方式实施</t>
  </si>
  <si>
    <t>2024年三道沟镇杨园则村集体经济联合社果园提升改造项目</t>
  </si>
  <si>
    <t>对杨园则村52亩果园进行提升改造，主要实施浇水、剪枝、施肥、铺设除草布、松土、补栽等措施。</t>
  </si>
  <si>
    <t>杨园则村</t>
  </si>
  <si>
    <t>产权归集体所有，项目实施后能有效加强现有果园种植基地管护，提升果园种植经济效益。预计有农户487户1324人受益，其中脱贫户15户32人。</t>
  </si>
  <si>
    <t>2024年三道沟镇阳湾村集体经济联合社果园提升改造项目</t>
  </si>
  <si>
    <t>对阳湾村350亩果园进行提升改造，主要实施浇水、剪枝、施肥、铺设除草布、松土、补栽等措施。</t>
  </si>
  <si>
    <t>产权归集体所有，项目实施后能有效加强现有果园种植基地管护，提升果园种植经济效益。预计有农户545户1475人受益，其中脱贫户12户28人。</t>
  </si>
  <si>
    <t>2024年三道沟镇三道沟集体经济联合社果园提升改造项目</t>
  </si>
  <si>
    <t>对三道沟村100亩果园进行提升改造，主要实施浇水、剪枝、施肥、铺设除草布、松土、补栽等措施。</t>
  </si>
  <si>
    <t>三道沟村</t>
  </si>
  <si>
    <t>产权归集体所有，项目实施后能有效加强现有果园种植基地管护，提升果园种植经济效益。预计有农户427户1044人受益，其中脱贫户7户14人。</t>
  </si>
  <si>
    <t>2024年度海则庙便民服务中心海则庙村经济联合社青梨提升改造项目</t>
  </si>
  <si>
    <t>对海则庙村集体经济联合社100亩青梨进行集中安装除草布、浇水、配方施肥、梳枝整形、病除害防治。</t>
  </si>
  <si>
    <t>海则庙便民服务中心</t>
  </si>
  <si>
    <t>海则庙村</t>
  </si>
  <si>
    <t>项目建成后，产权归村集体所有，对现有的100亩青梨集中安装除草布、浇水管护，提高青梨品质和挂果率，提高果园效益。受益560户1736人，其中脱贫户38户83人，监测户1户2人。</t>
  </si>
  <si>
    <t>2024年度古城镇经济联合总社向日葵种植项目</t>
  </si>
  <si>
    <t>在油房坪村郝圪台组流转土地600亩，通过增施有机肥、地膜覆盖，购买优质向日葵种子，种植向日葵600亩。</t>
  </si>
  <si>
    <t>古城镇</t>
  </si>
  <si>
    <t>油房坪村</t>
  </si>
  <si>
    <t>1.收益归古城镇经济联合总社所有；2.项目通过铺设地膜，增强土壤蓄水保墒和抗旱能力，增加粮食产量，预计每亩增收100斤；3.受益群众3954户9865人（其中脱贫户及三类户110户157人）；4.预计合作社增收2.7万元，当年收益30%用于提取公益公积金，50%用于投资积累金，20%用于股东红利分配。</t>
  </si>
  <si>
    <t>古城镇人民政府</t>
  </si>
  <si>
    <t>2024年度古城镇罗家沟村集体经济合作社海红果树提升改造项目</t>
  </si>
  <si>
    <t>项目主要是对古城镇罗家沟村境内集中连片及零散海红果树进行提升改造（约500亩），对果树进行修剪、施肥、锄草、灌溉等一系列措施，提高产量，提高海红果品质。</t>
  </si>
  <si>
    <t>罗家沟村</t>
  </si>
  <si>
    <t>1.项目实施后，产权归集体所有，能改善现有果树产量，改造原有的经济林，能够规范管理提高产量、改善海红果品质，预计亩产增加100斤优质海红果，预计盛果期合作社增收3万元/年，受益群众578户1385人（其中脱贫户、监测户20户24人）；2.项目实施过程中预计可以提供临时就业岗位3个、果农可直接受益约50元/株；3.村集体经济项目收益分配为：公益公积金30％，提取投资积累金20％，股东红利分配金50％。</t>
  </si>
  <si>
    <t>2024年度古城镇五道河村经济联合社海红果树提升改造项目</t>
  </si>
  <si>
    <t>项目主要是对古城镇五道河村境内集中连片及零散海红果树进行提升改造（约650亩），对果树进行修剪、施肥、锄草、灌溉等一系列措施，提高产量，提高海红果品质。</t>
  </si>
  <si>
    <t>五道河村</t>
  </si>
  <si>
    <t>1.项目实施后，产权归集体所有，能改善现有果树产量，改造原有的经济林，能够规范管理提高产量、改善海红果品质，预计亩产增加100斤优质海红果，预计盛果期合作社增收3.9万元/年，受益群众437户1036人受益（其中脱贫户和监测户15户19人）；2.项目实施过程中预计可以提供临时就业岗位3个、果农可直接受益约50元/株；3.村集体经济项目收益分配为：公益公积金30％；提取投资积累金20％；股东红利分配金50％。</t>
  </si>
  <si>
    <t>2024年度古城镇王家梁村集体经济合作社海红果树提升改造项目</t>
  </si>
  <si>
    <t>项目主要是对古城镇王家梁村境内集中连片及零散海红果树进行提升改造（约1500亩），对果树进行修剪、施肥、锄草、灌溉等一系列措施，提高产量，提高海红果品质。</t>
  </si>
  <si>
    <t>王家梁村</t>
  </si>
  <si>
    <t>1.项目实施后，产权归集体所有，能改善现有果树产量，改造原有的经济林，能够规范管理提高产量、改善海红果品质，预计亩产增加100斤优质海红果，预计盛果期合作社增收9万元/年，受益群众421户930人（其中脱贫户、监测户10户10人）；2.项目实施过程中预计可以提供临时就业岗位12个、果农可直接受益约50元/株； 3.村集体经济项目收益分配为： 公益公积金30%， 提取投资积累金20%， 股东红利分配金50%。</t>
  </si>
  <si>
    <t>2024年度古城镇油房坪村集体经济合作社海红果树提升改造项目</t>
  </si>
  <si>
    <t>项目主要是对古城镇油房坪村境内集中连片及零散海红果树进行提升改造（约1190亩），对果树进行修剪、施肥、锄草、灌溉等一系列措施，提高产量，提高海红果品质。</t>
  </si>
  <si>
    <t>1.项目实施后，产权归集体所有，能改善现有果树产量，改造原有的经济林，能够规范管理提高产量、改善海红果品质，预计亩产增加100斤优质海红果，预计盛果期合作社增收7.14万元/年，受益群众284户1160人（其中脱贫户、监测户11户21人）；2.项目实施过程中预计可以提供临时就业岗位10个、果农可直接受益约50元/株； 3.村集体经济项目收益分配为： 公益公积金30%， 提取投资积累金20%，股东红利分配金50%。</t>
  </si>
  <si>
    <t>2024年度古城镇古城村集体经济合作社海红果树提升改造项目</t>
  </si>
  <si>
    <t>项目主要是对古城镇古城村境内集中连片及零散海红果树进行提升改造（约1300亩），对果树进行修剪、施肥、锄草、灌溉等一系列措施，提高产量，提高海红果品质。</t>
  </si>
  <si>
    <t>古城村</t>
  </si>
  <si>
    <t>1.项目实施后，产权归集体所有，能改善现有果树产量，改造原有的经济林，能够规范管理提高产量、改善海红果品质，预计亩产增加100斤优质海红果，预计盛果期合作社增收7.8万元/年，受益群众1309户3131人（其中脱贫户、监测户31户50人）；2.项目实施过程中预计可以提供临时就业岗位10个、果农可直接受益约50元/株；3.村集体经济项目收益分配为：公益公积金30%， 提取投资积累金20%， 股东红利分配金50%。</t>
  </si>
  <si>
    <t>2024年度古城镇沙圪坨村经济联合社海红果树提升改造项目</t>
  </si>
  <si>
    <t>项目主要是对古城镇沙圪坨村境内集中连片及零散海红果树进行提升改造（约900亩），对果树进行修剪、施肥、锄草、灌溉等一系列措施，提高产量，提高海红果品质。</t>
  </si>
  <si>
    <t>沙圪坨村</t>
  </si>
  <si>
    <t>1.项目实施后，产权归集体所有，能改善现有果树产量，改造原有的经济林，能够规范管理提高产量、改善海红果品质，预计亩产增加100斤优质海红果，预计盛果期合作社增收5.4万元/年，受益群众591户1359人（其中脱贫户、监测户21户30人）；2.项目实施过程中预计可以提供临时就业岗位6个、果农可直接受益约50元/株；3.村集体经济项目收益分配为：公益公积金30％，提取投资积累金20％，股东红利分配金50％。</t>
  </si>
  <si>
    <t>2024年度古城镇园则湾村经济合作社海红果树提升改造项目</t>
  </si>
  <si>
    <t>项目主要是对古城镇园则湾村境内集中连片及零散海红果树进行提升改造（约60亩），对果树进行修剪、施肥、锄草、灌溉等一系列措施，提高产量，提高海红果品质。</t>
  </si>
  <si>
    <t>园则湾村</t>
  </si>
  <si>
    <t>1.项目实施后，产权归集体所有，能改善现有果树产量，改造原有的经济林，能够规范管理提高产量、改善海红果品质，预计亩产增加100斤优质海红果，预计盛果期合作社增收0.36万元/年，受益群众312户760人（其中脱贫户、监测户2户3人）；2.项目实施过程中预计可以提供临时就业岗位1个、果农可直接受益约50元/株； 3.村集体经济项目收益分配为: 公益公积金30%， 提取投资积累金20%， 股东红利分配金50%。</t>
  </si>
  <si>
    <t>2024年度古城镇罗家沟村经济合作社种植项目</t>
  </si>
  <si>
    <t>罗家沟集体经济合作社在罗家沟村大塔组、石拐组流转土地200亩，选择耐旱作物品种、增施有机肥，种植高粱200亩。</t>
  </si>
  <si>
    <t>产权归村集体所有。1.土地旱涝保收，提升农产品经济效益。2.带动578户1385人受益（其中脱贫户和监测户20户24人），为在村群众提供就业机会，拓宽群众增收渠道；3.群众满意度≧95%；预计促进集体经济合作社增收0.5万元；4.项目归属集体所有，收益分配为：公益公积金30％，提取投资积累金20％，股东红利分配金50％。</t>
  </si>
  <si>
    <t>2024年度古城镇古城村集体经济合作社向日葵种植项目</t>
  </si>
  <si>
    <t>在古三组流转300亩土地，通过增施有机肥、地膜覆盖，购买优质向日葵种子，在古城村种植向日葵300亩。</t>
  </si>
  <si>
    <t>1.该项目收益归古城村集体经济合作社所有；2.项目主要通过经营主体吸纳就业和资产入股利益联结等联带模式带动村民增收，预计可直接带动30户51人（其中脱贫户3户5人）增收，为3位村民提供业机会；3.提高300亩土地利用率，便于机械化作业，预计每亩增收100斤；5.预计合作社增收1.35万元，受益群众1309户3131人（其中脱贫户、监测户31户50人）；6.村集体经济项目收益分配为：公益公积金50％，提取投资积累金30％，股东红利分配金20％。</t>
  </si>
  <si>
    <t>2024年度古城镇古城村集体经济合作社玉米种植项目</t>
  </si>
  <si>
    <t>流转1000亩土地（其中前坪组300亩、后城组200亩、古一组200亩、古二组200亩、贾家梁组100亩），实施旱作集成技术推广项目、增施有机肥、地膜覆盖，种植抗旱玉米1000亩。</t>
  </si>
  <si>
    <t>1.该项目收益归古城村集体经济合作社所有；2.项目主要通过经营主体吸纳就业和资产入股利益联结等联带模式带动村民增收，预计可直接带动102户198人（其中脱贫户10户22人）增收，为5位村民提供业机会；3.提高1000亩土地利用率，便于机械化作业，预计每亩增收100斤；5.预计合作社增收3.75万元，受益群众1309户3131人（其中脱贫户、监测户31户50人）；6.村集体经济项目收益分配为：公益公积金50％，提取投资积累金30％，股东红利分配金20％。</t>
  </si>
  <si>
    <t>示范村项目、旱作集成技术推广项目</t>
  </si>
  <si>
    <t>2024年度古城镇古城村集体经济合作社高梁种植项目</t>
  </si>
  <si>
    <t>在古城村流转1600亩土地（其中前城组500亩、后城组500亩、古二组600亩），实施旱作集成技术推广项目、增施有机肥、地膜覆盖，种植抗旱高梁1600亩。</t>
  </si>
  <si>
    <t>1.该项目收益归古城村集体经济合作社所有；2.项目主要通过经营主体吸纳就业和资产入股利益联结等联带模式带动村民增收，预计可直接带动143户311人（其中脱贫户5户5人）增收，为10位村民提供业机会；3.提高1600斤；5.预计合作社增收6万元，受益群众1309户3131人（其中脱贫户、监测户31户50人）；6.村集体经济项目收益分配为：公益公积金50％，提取投资积累金30％，股东红利分配金20％。</t>
  </si>
  <si>
    <t>2024年府谷镇高梁村经济联合社产业融合示范园附属配套设施建设项目</t>
  </si>
  <si>
    <t>新建砖硬化排水沟长650米宽40公分深50公分（两侧24墙底部24墙，砖砌结构），更换大棚供水PE管道（110规格）1600米；直径1.3米深1.5米检查井12个；主路到大棚铺砖路280米，2.5米宽；新建高度1米总长162米的24挡土砖墙，铁质防盗围栏248米（高1.2米）。</t>
  </si>
  <si>
    <t>府谷镇</t>
  </si>
  <si>
    <t>高梁村</t>
  </si>
  <si>
    <t>建成后资产属于高梁村经济联合社，保障园区的正常的运行，受益农户369户1023人，其中受益脱贫户15户26人，其中受益易返贫致贫户1户3人</t>
  </si>
  <si>
    <t>府谷镇人民政府</t>
  </si>
  <si>
    <t>2024年府谷镇高梁村经济联合社双膜拱棚维修项目</t>
  </si>
  <si>
    <t>更换40座双膜拱棚的塑料膜和维修钢管(大棚60米长、8米宽)。</t>
  </si>
  <si>
    <t>产权归村集体所有。实施该项目可以保障双膜拱棚的收益，增加村集体经济收入10万元。受益农户369户1023人，受益脱贫户15户26人，受益易返贫致贫户1户3人。</t>
  </si>
  <si>
    <t>2024年府谷镇柳林碛村经济联合社葡萄采摘园防冰雹鸟虫网棚建设项目</t>
  </si>
  <si>
    <r>
      <rPr>
        <sz val="14"/>
        <rFont val="仿宋"/>
        <charset val="134"/>
      </rPr>
      <t>新建葡萄采摘园防雹防鸟网，挖土方216m</t>
    </r>
    <r>
      <rPr>
        <sz val="14"/>
        <rFont val="宋体"/>
        <charset val="134"/>
      </rPr>
      <t>³</t>
    </r>
    <r>
      <rPr>
        <sz val="14"/>
        <rFont val="仿宋"/>
        <charset val="134"/>
      </rPr>
      <t>，土(石)方回填</t>
    </r>
    <r>
      <rPr>
        <sz val="14"/>
        <rFont val="宋体"/>
        <charset val="134"/>
      </rPr>
      <t></t>
    </r>
    <r>
      <rPr>
        <sz val="14"/>
        <rFont val="仿宋"/>
        <charset val="134"/>
      </rPr>
      <t>120m</t>
    </r>
    <r>
      <rPr>
        <sz val="14"/>
        <rFont val="宋体"/>
        <charset val="134"/>
      </rPr>
      <t>³</t>
    </r>
    <r>
      <rPr>
        <sz val="14"/>
        <rFont val="仿宋"/>
        <charset val="134"/>
      </rPr>
      <t>，预埋铁件1000个，安装镀锌钢管2寸18.086吨，安装镀锌钢管1寸18.797吨，安装铁丝21000米，纱网50000㎡。</t>
    </r>
  </si>
  <si>
    <t>柳林碛村</t>
  </si>
  <si>
    <t>项目建成后所有权为柳林碛村经济联合社，受益农户354户962人，受益脱贫户12户18人，预防飞禽、冰雹对葡萄果实造成伤害，灭杀葡萄产业园周围的蚊虫，预防蚊虫对葡萄果实造成伤害，提升葡萄产业园产量。该项目可以增加村集体经济收益5万，收益30%提取公积金，70%用于分红。</t>
  </si>
  <si>
    <t>2024年府谷镇柳林碛村经济联合社大棚塑料膜更换项目</t>
  </si>
  <si>
    <t>采购3吨12丝大棚塑料膜，购买放风口铁丝网12个长36米宽1米，维修日光温室大棚。</t>
  </si>
  <si>
    <t>项目建成后所有权为柳林碛村经济联合社，受益农户354户962人，受益脱贫户12户18人，对大棚受损薄膜进行更换，提高大棚保温效果，提升大棚产量,可以保障每个大棚每年2万元收益。</t>
  </si>
  <si>
    <t>2024年府谷镇柳林碛村经济联合社果园围栏工程</t>
  </si>
  <si>
    <t>新建30亩果园安装围栏3700米（铁质围栏高度1.8米），预埋件1259个，大门7个</t>
  </si>
  <si>
    <t>项目建成后所有权为柳林碛村经济联合社，受益农户354户962人，受益脱贫户12户18人，可带动3人务工，便于果园产业管理</t>
  </si>
  <si>
    <t>2024年府谷镇新府村经济联合社葡萄园建设项目</t>
  </si>
  <si>
    <t>建设标准化葡萄园70亩，安装水泥柱葡萄架3500根。</t>
  </si>
  <si>
    <t>新府村</t>
  </si>
  <si>
    <t>建成后资产归新府村经济联合社，辐射带动我镇沙沟、尖圪垯、王家畔、狮子城、柴家焉、桑园梁、石庙焉、刘家沟，西山群众参与分红，可以每年增加村集体经济收入35万元，收益30%提取公积金,70%用于分红，受益农户3335户8177人，受益脱贫户159户300人，受益易贫致贫户6户16人。</t>
  </si>
  <si>
    <t>2024年府谷镇高梁村经济联合社葡萄园建设项目</t>
  </si>
  <si>
    <t>建设标准化葡萄园10亩，安装水泥柱葡萄架500根。</t>
  </si>
  <si>
    <t>建成后资产属于高梁村经济联合社，每年可以给村集体带来2万元的收益，受益农户369户1023人，其中受益脱贫户15户26人，其中受益易返贫致贫户1户3人。</t>
  </si>
  <si>
    <t>2024年府谷镇高梁村经济联合社日光温室大棚建设项目</t>
  </si>
  <si>
    <t>新建日光温室大棚5座，60米长，12米宽，4.1米高。</t>
  </si>
  <si>
    <t>建成后资产属于高梁村经济联合社，每年可以增加村集体经济收入10万元，受益农户369户1023人，受益脱贫户15户26人，受益易返贫致贫户1户3人。</t>
  </si>
  <si>
    <t>2024年度府谷镇柳林碛村经济联合社旱作集成技术推广项目</t>
  </si>
  <si>
    <t>在柳林碛村推广旱作集成技术，种植玉米、西瓜、葡萄等140亩、增施有机肥、抗旱保水剂，地膜。</t>
  </si>
  <si>
    <t>项目建成后所有权为柳林碛村经济联合社，壮大村集体经济收入，受益农户356户962人，其中受益脱贫户12户18人，预计带动村集体经济年增收5万元。收益30%提取公积金，70%用于分红。</t>
  </si>
  <si>
    <t>2024年府谷镇柳林碛村经济联合社日光温室大棚建设项目</t>
  </si>
  <si>
    <t>在黑山自然村新建日光温室大棚2座，长50米，宽12米，顶高4.1米。</t>
  </si>
  <si>
    <t>项目建成后所有权为柳林碛村经济联合社，受益农户354户962人，受益脱贫户12户18人，可以带动村内农户3人在大棚内务工增加收入，每年可增加村集体经济收入4.5万元，项目收益30%提取公积金，70用于分红。</t>
  </si>
  <si>
    <t>2024年府谷县新府山易地扶贫搬迁集中安置点微田园建设项目</t>
  </si>
  <si>
    <t>2024年为府谷县新府山易地扶贫搬迁安置点入住脱贫户流转土地100亩，对土地进行平整、上灌溉设施、施肥、划分地界、分地牌，后期管理维护等。满足375户脱贫群众就近种植果蔬。</t>
  </si>
  <si>
    <t>富昌路便民服务中心</t>
  </si>
  <si>
    <t>新府山社区</t>
  </si>
  <si>
    <t>是</t>
  </si>
  <si>
    <t>小菜园托稳“菜篮子”，让易地搬迁群众在家门口就有地种，有菜摘。每户至少增收1000元。</t>
  </si>
  <si>
    <t>发科局</t>
  </si>
  <si>
    <t>2024年府谷县脱贫户（含监测户）到户产业项目</t>
  </si>
  <si>
    <t>为全县范围内有意愿的547户脱贫户（含监测对象）进行到户产业奖补，计划养殖白皮猪313头，本地绒山羊2679只，鸡490只，肉牛27头，驴2头，玉米1870.5亩，谷子328亩，马铃薯496.5亩，高粱142亩，糜子190亩，荞麦183亩，黑豆257亩，中药材16亩，薯类瓜菜21亩。</t>
  </si>
  <si>
    <t>相关镇（便民服务中心）</t>
  </si>
  <si>
    <t>相关村</t>
  </si>
  <si>
    <t>对全县范围内有劳动能力、有意愿的547户脱贫户（含监测对象）自主发展产业进行奖补，每户不超1万元，户均增收0.5万元，提高脱贫户（含监测对象）对衔接政策的满意度。到户类资产归脱贫户（监测对象）所有。</t>
  </si>
  <si>
    <t>2024年府谷县脱贫户（含监测对象）庭院经济项目</t>
  </si>
  <si>
    <t>对全县范围内符合条件的22户脱贫户及三类户发展庭院经济进行奖补，计划养殖白皮猪12头，肉猪12头，白绒山羊48只，牛2头，鸡50羽，房前屋后种地0.2亩及人居环境整治，葡萄5株，果树12棵。</t>
  </si>
  <si>
    <t>为全县有劳动能力、有发展意愿的22户脱贫户（含监测对象）发展庭院经济进行奖补，每户不超1万元，户均增收5000元以上，提高脱贫户（含监测对象）对衔接政策的满意度。到户类资产归脱贫户（监测对象）所有。</t>
  </si>
  <si>
    <t>2024年大昌汗镇哈业五素村玉米种植基地旱作集成技术推广项目</t>
  </si>
  <si>
    <t>实施种植玉米项目180亩，增施有机肥、地膜覆盖、抗旱保水剂。</t>
  </si>
  <si>
    <t>大昌汗镇</t>
  </si>
  <si>
    <t>哈业五素村</t>
  </si>
  <si>
    <t>通过铺设地膜、实施抗旱保水剂，增强土壤蓄水保墒和抗旱能力，增加粮食产量，预计带动集体增收6万元。受益农户326户1035人，其中脱贫户8户12人。</t>
  </si>
  <si>
    <t>大昌汗镇人民政府</t>
  </si>
  <si>
    <t>2024年大昌汗镇大昌汗村旱作节水项目</t>
  </si>
  <si>
    <t>实施种植玉米项目120亩，购买玉米种子、增施有机肥、地膜覆盖、抗旱保水剂。</t>
  </si>
  <si>
    <t>大昌汗村</t>
  </si>
  <si>
    <t>通过铺设地膜、实施抗旱保水剂，增强土壤蓄水保墒和抗旱能力，增加粮食产量，预计带动集体增收5万元。受益农户519户1549人，其中脱贫户10户20人。</t>
  </si>
  <si>
    <t>2024年大昌汗镇后五当沟村前、后元壕组高标准农田灌溉配套项目</t>
  </si>
  <si>
    <t>为800亩（计划种植玉米等）种植基地提供灌溉连接管线，新建上水管线3km，用于连接水源井和高位水池，其中3寸镀锌钢管100米，3寸PE热熔管2900米</t>
  </si>
  <si>
    <t>后五当沟村</t>
  </si>
  <si>
    <t>该项目产权归后五当沟村经济联合社，完善抗旱水源工程，为800亩（计划种植玉米等）提供灌溉，增强土壤蓄水保墒和抗旱能力，预计亩产均产量增加200斤，充分带动当地集体经济增收。受益群众179户520人其中脱贫户1户1人。</t>
  </si>
  <si>
    <t>2024年大昌汗镇大昌汗村陈家塔合作社蔬菜大棚改造项目</t>
  </si>
  <si>
    <t>为村集体合作社10座双膜棚（70m*14m）和4座日光温室大棚（70m*14m）更换塑料保温膜，维修电机等设施。</t>
  </si>
  <si>
    <t>项目建成后产权归村集体，壮大村集体经济，预计村集体增收3万元。受益群众72户223人，受益脱贫4户8人。</t>
  </si>
  <si>
    <t>2024年度孤山镇沙坬村经济联合社阳塔自然村种植基地配套项目</t>
  </si>
  <si>
    <t>现水源井已建设完成，需要为150亩高标准农田配套灌溉设施，新建500立方米蓄水池1座（储水备旱季使用），铺设输水管线4675米。</t>
  </si>
  <si>
    <t>孤山镇</t>
  </si>
  <si>
    <t>沙坬村</t>
  </si>
  <si>
    <t>项目建设后产权归村集体所有，配套灌溉设施改善农田种植条件，彻底摆脱靠天吃饭困境，带动全村28户75人发展产业，其中脱贫户3户5人，监测户1户2人。预计每年增收8万元，收益70%用于村民红利，30%用于村集体经济发展。</t>
  </si>
  <si>
    <t>孤山镇人民政府</t>
  </si>
  <si>
    <t>省级重点帮扶村项目</t>
  </si>
  <si>
    <t>2024年度孤山镇杨家沟村经济联合社杨家畔村种植基地配套项目</t>
  </si>
  <si>
    <t>现有蓄水大坝一座，水源充足，需为605亩高标准农田配套灌溉设施，新建500立方高位水池一座，新建井房1座，配套上水管道2000米，水泵1台，铺设滴管管道4000米，建设电路700米。</t>
  </si>
  <si>
    <t>杨家沟村</t>
  </si>
  <si>
    <t>项目建设后产权归村集体所有，配套灌溉设施改善农田种植条件，彻底摆脱靠天吃饭困境，带动全村81户255人发展产业，其中脱贫户4户13人。预计每年增收10万元，收益70%用于村民红利，30%用于村集体发展资金。</t>
  </si>
  <si>
    <t>2024年度孤山镇徐家峁村经济联合社徐家峁三、四自然村旱作节水农业项目</t>
  </si>
  <si>
    <t>计划新建灌溉面积460亩，配套地下管网、主管道、滴灌带、水肥一体设施和电力等设施，计划种植玉米460亩。</t>
  </si>
  <si>
    <t>徐家峁村</t>
  </si>
  <si>
    <t>项目建设后产权归村集体所有，配套滴管设施后极大改善现有种植条件，预计亩均增收300元，带动111户334人（其中脱贫户4户5人）发展产业项目。收益计划70%用于村民红利，30%用于村集体发展累计资金。</t>
  </si>
  <si>
    <t>2024年度哈镇店塔村农田灌溉建设项目</t>
  </si>
  <si>
    <t>在店塔村鱼儿湾组实施农田灌溉项目，新建截留式大口井1个，在河槽下挖深5米宽5米长70米水道，并在水道内压两条70米长水泥管道。截流管下游50米外地下建长40米高2米的钢筋混凝土挡墙。大口井规模预计为直径10米，井口到井底10米，外露4米，所有墙面用钢筋混凝土浇筑。大口井封顶后新建机房，配套1台3寸抽水机。另需配套不同尺寸PE管1500米左右，阀门、三通等各种部件。</t>
  </si>
  <si>
    <t>该项目产权归村集体所有，项目建成后，可收集、蓄存天然降水以及地表水用于旱作农田灌溉。预计可实现灌溉350亩，提升鱼儿湾村村民粮食产量。受益农户355户879人，其中脱贫户12户23人，监测户1户2人，亩均增收200元。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</si>
  <si>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2024年度哈镇糜茬焉村集体经济合作社集雨窖建设项目</t>
  </si>
  <si>
    <t>在哈镇糜茬焉村糜茬焉组、王界焉组、红塔沿线村组新建20座封口式集雨窖，使用砖石混凝土砌筑而成，用于收集天然雨水，每座集雨窖50方，直径4米,深度3.5米。附属工程：配套10台汽油抽水机、10台150QJ10-200/28型潜水泵。</t>
  </si>
  <si>
    <t>该项目产权归村集体所有，项目建成后，可收集、蓄存天然降水用于旱作农田灌溉，提高农作物产量。预计可实现灌溉300亩，受益脱贫户51户109人，每户年均增收600元以上。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</si>
  <si>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2024年度哈镇硬路塔村旱作节水农业项目</t>
  </si>
  <si>
    <t>实施旱作集成技术推广项目800亩，增施有机肥320吨、覆盖地膜800亩、抗旱保水剂，种植耐旱作物品种玉米800亩。</t>
  </si>
  <si>
    <t>该项目产权归村集体所有，项目建成后，通过铺设地膜、实施抗旱保水剂，增强土壤蓄水保墒和抗旱能力，亩均增收200元，预计村集体经济增收1.6万元。受益农户366户，其中脱贫户15户37人监测户1户4人。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</si>
  <si>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2024年度黄甫镇段寨村抽水灌站提升改造项目</t>
  </si>
  <si>
    <t>在现有泵站基础上，在段寨上村、下村、大泉沟村，增加3套小型高扬程抽水设施（安装D85/45*2离心泵），PE1400管道360米，及配套设施。</t>
  </si>
  <si>
    <t>段寨村</t>
  </si>
  <si>
    <t>产权归村集体所有。实施抽水灌站提升改造项目，受益农户444户1088人，其中脱贫户8户13人，监测户4户10人（包括脱贫户1户2人），改善整村农户种植条件，增加农作物产量，带动农户及村集体经济增收，预计为村集体经济联合社年增收1万元。</t>
  </si>
  <si>
    <t>黄甫镇人民政府</t>
  </si>
  <si>
    <t>2024年度碛塄农业园区花坞村高尧峁自然村U型水道维修建设和灌溉配套设施项目</t>
  </si>
  <si>
    <t>新建高尧峁村U型水道800米，维修U型水道300米配套7.5千瓦，40-60扬程三寸水泵2个，3寸水管等300米；为大机房配套6寸、50米扬程水泵1个，6寸管80米</t>
  </si>
  <si>
    <t>花坞村</t>
  </si>
  <si>
    <t>完善生产基础设施，确保农业生产正常开展；产权归村集体所有，受益者235户633人，其中脱贫户和监测户24户50人</t>
  </si>
  <si>
    <t>2024年度碛塄农业园区花坞村郝家角自然村种植基地灌溉配套项目</t>
  </si>
  <si>
    <t>为郝家角自然三个灌溉水井配套2.5寸35米扬程水泵3个，三寸水管600米，3×4+1电缆300米；饮水井7.5千瓦1200米扬程水泵1个</t>
  </si>
  <si>
    <t>完善生产基础设施，确保农业生产正常开展；产权归村集体所有，受益者270户756人，其中脱贫户和监测户24户50人</t>
  </si>
  <si>
    <t>2024年墙头农业园区前园则村合作社前园则组小杂粮基地农业配套供水管线项目</t>
  </si>
  <si>
    <t>新建200方圆形砖混高位水池1座，检查井2座，购买3寸镀锌钢管1000米，购买22kw抽水泵一台。</t>
  </si>
  <si>
    <t>产权归村集体经济合作社，建成后可以使前园则村100余亩农田不受旱，可以扩大灌溉面积，预计亩均增收200公斤，村集体经济合作社增收10万元。收益的70%用于产业扶持产业后续发展，30%用于集体经济合作社分红。带动287户936人，其中脱贫户15户42人、监测户2户4人，增加收入，稳固脱贫成果。</t>
  </si>
  <si>
    <t>2024年田家寨镇李岔村集体经济联合社双模拱棚维修加固项目</t>
  </si>
  <si>
    <r>
      <rPr>
        <sz val="14"/>
        <rFont val="仿宋"/>
        <charset val="134"/>
      </rPr>
      <t>维修因自然灾害破坏的8个双模拱棚，塌陷土方回填550m</t>
    </r>
    <r>
      <rPr>
        <sz val="14"/>
        <rFont val="宋体"/>
        <charset val="134"/>
      </rPr>
      <t>³</t>
    </r>
    <r>
      <rPr>
        <sz val="14"/>
        <rFont val="仿宋"/>
        <charset val="134"/>
      </rPr>
      <t>，棚内钢架更换维修，8座大棚棚膜更换，排水设施维修等。</t>
    </r>
  </si>
  <si>
    <t>李岔村</t>
  </si>
  <si>
    <t>项目建成后产权属于李村集体经济联合社，可持续发挥双膜拱棚带动效益，稳步带动全村全村517户1353人（其中脱贫户和监测户57户170人）增加，并有效防止资产闲置流失。</t>
  </si>
  <si>
    <t>2024年田家寨镇张圪崂村集体经济联合社双膜拱棚配套项目</t>
  </si>
  <si>
    <t>铺设供水PE管道700米。购买20立方米水泥灌一个，新修3立方米砖混灌水槽一个。</t>
  </si>
  <si>
    <t>张圪崂村</t>
  </si>
  <si>
    <t>该项目产权归集体所有，铺设供水管道后能够实现大棚实时按需灌溉，有效提高双膜拱棚灌溉效率，提高种植物产量，增加大棚总收益5000元以上，带动527户1493人，其中脱贫户42户90人，增加收入。</t>
  </si>
  <si>
    <t>2024年度武家庄镇武家庄行政村集体经济合作社打井灌溉项目</t>
  </si>
  <si>
    <t>武家庄村大沟河新建截潜流一座（长20米、宽2米、高5米）和400立方高位水池一座（长20米、宽4米、深5米），壕沟新建蓄水池一座（直径3米、高15米）和300立方高位水池一座（长10米、宽6米、深5米）；2寸无缝钢管800米，法兰270个，325阀门2个，2村塑料管4000米；50A变压器2台，3.5#线高压线4000米，10米高水泥杆16根，300米扬程水泵2台。</t>
  </si>
  <si>
    <t>武家庄村</t>
  </si>
  <si>
    <t>产权归村集体经济联合社所有，壮大村集体经济，提高灌溉效率，提高558户1464人农民收入，其中脱贫户22户46人，预计增加村集体经济收入6万元，收益的30%用于提取公积公益金，30%用于壮大集体经济联合社，40%用于村内分红。</t>
  </si>
  <si>
    <t>2024年度木瓜镇大柳树墕村集体经济合作社万亩有机糜谷基地配套集雨池项目</t>
  </si>
  <si>
    <t>在万亩有机糜谷基地（大柳树墕段）配套实施800立方米集雨池1个。集雨池位于万亩有机糜谷基地平地处，主要通过1公里的硬化路面及300余亩的田间水道收集雨水，配套5.5千瓦水泵一台，1寸PE管1500米，项目建成后可实现灌溉700亩有机糜谷。</t>
  </si>
  <si>
    <t>该项目产权归集体所有，能进一步完善糜谷基地配套建设，保障万亩有机糜谷基地（大柳树墕段）产业持续发展，解决700亩糜谷基地灌溉用水，亩产增收50斤。按照村集体经济收益分配方案，75%资金用于分红，10%资金用于村内公益性岗位开发补助，10%资金用于发展壮大再生产,5%资金用于风险基金。预计有农户381户993人受益，其中脱贫户15户31人，监测户1户4人。</t>
  </si>
  <si>
    <t>2024年三道沟镇黑石岩村集体经济联合社灌溉设施建设项目</t>
  </si>
  <si>
    <r>
      <rPr>
        <sz val="14"/>
        <rFont val="仿宋"/>
        <charset val="134"/>
      </rPr>
      <t>为黑石岩村集体经济联合社80亩果园、农田200亩配套的灌溉设施项目，包括：
1.新建混凝土积水窖2座（1000m</t>
    </r>
    <r>
      <rPr>
        <sz val="14"/>
        <rFont val="宋体"/>
        <charset val="134"/>
      </rPr>
      <t>³</t>
    </r>
    <r>
      <rPr>
        <sz val="14"/>
        <rFont val="仿宋"/>
        <charset val="134"/>
      </rPr>
      <t>、500m</t>
    </r>
    <r>
      <rPr>
        <sz val="14"/>
        <rFont val="宋体"/>
        <charset val="134"/>
      </rPr>
      <t>³</t>
    </r>
    <r>
      <rPr>
        <sz val="14"/>
        <rFont val="仿宋"/>
        <charset val="134"/>
      </rPr>
      <t>各1座）；
2.铺设PE水管0.8km（管径：2.5寸）；安装潜水泵1台（功率7.5KW）。</t>
    </r>
  </si>
  <si>
    <t>黑石岩村</t>
  </si>
  <si>
    <t>该项目建成后产权归村集体所有，该项目建成后预计村集体经济年收益3.9万元。按照不低于6%的收益，预计年收益5.4万元。按照村集体经济收益分配方案，75%资金用于分红，10%资金用于村内公益性岗位开发补助，10%资金用于发展壮大再生产,5%资金用于风险基金。预计有农户298户847人受益，其中脱贫户7户22人。</t>
  </si>
  <si>
    <t>2024年木瓜镇万亩糜谷基地阳坬村段配套项目</t>
  </si>
  <si>
    <t>为万亩糜谷基地阳坬段及周边配套设施100立方米软体集雨窖22个（其中阳坬村建设10个，柳沟村建设12个）</t>
  </si>
  <si>
    <t>阳坬村、柳沟村</t>
  </si>
  <si>
    <t>该项目产权归集体所有，能进一步完善糜谷基地配套建设，保障村内产业持续发展，解决1000亩糜谷基地灌溉用水，亩产增收50斤。预计有农户384户1013人受益，其中脱贫户10户22人，监测户1户3人。</t>
  </si>
  <si>
    <t>2024年度木瓜镇万亩糜谷基地前梁村段配套项目</t>
  </si>
  <si>
    <t>为万亩糜谷基地前梁段及周边配套实施100立方米软体集雨窖20个（其中前梁村建设10个，王家峁建设10个）。</t>
  </si>
  <si>
    <t>前梁村、王家峁村</t>
  </si>
  <si>
    <t>该项目产权归集体所有，能进一步完善糜谷基地配套建设，保障村内产业持续发展，解决1000亩糜谷基地灌溉用水，亩产增收50斤。预计有农户62户172人受益，其中脱贫户24户45人，监测户1户5人。</t>
  </si>
  <si>
    <t>2024年度木瓜镇万亩糜谷基地大柳树墕村段配套项目</t>
  </si>
  <si>
    <t>为万亩糜谷基地大柳树墕段及周边配套实施100立方米软体集雨窖21个（其中大柳树墕村建设11个，东梁村建设10个）。</t>
  </si>
  <si>
    <t>大柳树墕村、东梁村</t>
  </si>
  <si>
    <t>该项目产权归集体所有，能进一步完善糜谷基配套建设，保障村内产业持续发展，解决1000亩糜谷基地灌溉用水，亩产增收50斤。预计有农户686户2038人受益，其中脱贫户24户45人，监测户1户5人。</t>
  </si>
  <si>
    <t>2024年木瓜镇万亩糜谷基地木瓜村段配套项目</t>
  </si>
  <si>
    <t>为万亩糜谷基地木瓜段及周边配套设施100立方米软体集雨窖20（其中木瓜村建设8个，台问沟村建设12个）</t>
  </si>
  <si>
    <t>木瓜村、台问沟村</t>
  </si>
  <si>
    <t>该项目产权归集体所有，能进一步完善糜谷基地配套建设，保障村内产业持续发展，解决1000亩糜谷基地灌溉用水，亩产增收50斤。预计有农户521户2165人受益，其中脱贫户35户78人。</t>
  </si>
  <si>
    <t>2024年府谷镇刘家沟高标准农田灌概项目</t>
  </si>
  <si>
    <t>新建200立方米蓄水池（20万）5000米管道挖坑及填埋（15万）、50个检查井（5万）、50套阀门、水表及配套设施（1万）。</t>
  </si>
  <si>
    <t>刘家沟村</t>
  </si>
  <si>
    <t>建成后资产归刘家沟村，受益农户342户845人，16户25人，易返贫致贫户1户1人，用于灌溉1300亩农田（种植玉米小杂粮）。</t>
  </si>
  <si>
    <t>2024年府谷镇新府村经济联合社维修高位水池项目</t>
  </si>
  <si>
    <r>
      <rPr>
        <sz val="14"/>
        <rFont val="仿宋"/>
        <charset val="134"/>
      </rPr>
      <t>维修高位水池（5000m</t>
    </r>
    <r>
      <rPr>
        <sz val="14"/>
        <rFont val="宋体"/>
        <charset val="134"/>
      </rPr>
      <t>³</t>
    </r>
    <r>
      <rPr>
        <sz val="14"/>
        <rFont val="仿宋"/>
        <charset val="134"/>
      </rPr>
      <t>）一座，利用接水坎蓄水，新铺上水和给水设备（35万元）。</t>
    </r>
  </si>
  <si>
    <t>建成后资产属于新府村经济联合社，保障拟新建的70亩葡萄园的灌溉用水，受益农户639户1023人，受益脱贫户17户31人，受益易返贫致贫户2户7人</t>
  </si>
  <si>
    <t>2024年府谷镇贺家畔村西山寨组坝地灌溉配套供电设施</t>
  </si>
  <si>
    <t>坝地水井抽水配套供电设施，购买水泵3个，出水口径2寸，扬程150米，12KW功率；发电机36KW，配套控制柜及电缆及抽水管道。</t>
  </si>
  <si>
    <t>贺家畔村</t>
  </si>
  <si>
    <t>建成后资产归贺家畔村西山寨组所有，可以有效灌溉坝地160亩，保证粮食产量。受益农户170户， 人数448人，脱贫户16户27人</t>
  </si>
  <si>
    <t>2024年府谷县孤山镇徐家峁村旱作节水农业项目</t>
  </si>
  <si>
    <t>计划新建灌溉面积456亩，首部工程：新建 18m2设备间 1 座；安装 200QJ32-26/2 潜水泵 1 台，功率 4kw，杨程 26m，配套汽油发电机一台，安装离心+网式过滤器1套，智能一体化施肥罐 1 套。田间管网工程（滴灌）：实施滴灌面积 456 亩，埋设 PE100-de110-1.0MPa 管道 12340m，新建检查井 6 座，排水井 16 座。</t>
  </si>
  <si>
    <t>项目建成后产权归村集体所有，大力提升用水效率，精准施肥、增加作物产量，亩均增收300元。受益农户111户334人，其中脱贫户4户5人。</t>
  </si>
  <si>
    <t>2024年度府谷县古城镇油房坪村旱作节水农业项目</t>
  </si>
  <si>
    <r>
      <rPr>
        <sz val="14"/>
        <rFont val="仿宋"/>
        <charset val="134"/>
      </rPr>
      <t>项目区涉及府谷县古城镇郝圪台村692.23亩，其中111.10亩配套主管道。主要建设内容为输水管道D133×4无缝钢管80m，新建3000m</t>
    </r>
    <r>
      <rPr>
        <sz val="14"/>
        <rFont val="宋体"/>
        <charset val="134"/>
      </rPr>
      <t>³</t>
    </r>
    <r>
      <rPr>
        <sz val="14"/>
        <rFont val="仿宋"/>
        <charset val="134"/>
      </rPr>
      <t>蓄水池1座，配套PE100-de110-1.0MPa管道1766m，UPVC110-0.8MPa竖管112m。</t>
    </r>
  </si>
  <si>
    <t>项目建成后产权归村集体所有，大力提升用水效率，精准施肥、增加作物产量，亩均增收300元。受益农户284户1160人，其中脱贫户11户21人。</t>
  </si>
  <si>
    <t>2024年府谷县大昌汗镇后五当沟村旱作节水农业项目</t>
  </si>
  <si>
    <r>
      <rPr>
        <sz val="14"/>
        <rFont val="仿宋"/>
        <charset val="134"/>
      </rPr>
      <t>计划新建灌溉面积1387亩，利用现有水源井1眼并重新配套水泵，新建调节池 1 座（2000m</t>
    </r>
    <r>
      <rPr>
        <sz val="14"/>
        <rFont val="宋体"/>
        <charset val="134"/>
      </rPr>
      <t>³</t>
    </r>
    <r>
      <rPr>
        <sz val="14"/>
        <rFont val="仿宋"/>
        <charset val="134"/>
      </rPr>
      <t>），新建水源管理房1处、田间管理房1处，配套滴灌首部枢纽设备1套，埋设 2.5MPaDN150 上水钢管 1520m，1.6MPaDN160PE 上水管 629m；田间灌溉埋设1.0MPaDN160PE 管 5285m，1.6MPaDN160PE 管7164m，4 寸单向出水口28个，4寸双向出水口 143 个，闸阀井19座。配 100KVA 变压器1台，架设10KV 线路 0.5km。</t>
    </r>
  </si>
  <si>
    <t>项目建成后产权归村集体所有，大力提升用水效率，精准施肥、增加作物产量，亩均增收302元。受益农户179户520人，其中脱贫户1户1人。</t>
  </si>
  <si>
    <t>2024年府谷镇柳林碛村经济联合社大棚更换土壤项目</t>
  </si>
  <si>
    <t>更换12座大棚约厚50CM土壤，约共计换土2800方，一公里内装运土方9元/方，每公里增加1.5元/方</t>
  </si>
  <si>
    <t>项目建成后所有权为柳林碛村经济联合社，便于大棚日常维护，提升大棚种植产率，受益农户354户962人，受益脱贫户12户18人。</t>
  </si>
  <si>
    <t>2024年府谷镇柳林碛村产业区挡土石墙建设项目</t>
  </si>
  <si>
    <t>建石墙990立方（110m*1.8m*5m）</t>
  </si>
  <si>
    <t>项目建成后所有权为黑山自然村村，充分利大棚处荒废空间，便于产业路停车，受益农户136户386人，受益脱贫户3户7人。</t>
  </si>
  <si>
    <t>2024年度孤山镇岳家寨村经济联合社旱作集成种植项目</t>
  </si>
  <si>
    <t>利用旱作集成种植技术，通过铺设地膜、实施抗旱保水剂，增强土壤蓄水保墒和抗旱能力，经营种植玉米3803亩。其中兴庄则组种植1500亩，后畔组种植500亩，中焉、上焉组种植1283亩，前焉组种植520亩。</t>
  </si>
  <si>
    <t>岳家寨村</t>
  </si>
  <si>
    <t>通过铺设地膜、实施抗旱保水剂，增强土壤蓄水保墒和抗旱能力，增加粮食产量，充分带动当地集体经济增收。受益农户271户700人，其中脱贫户7户13人，亩均增收200元。收益30%用于村集体发展，70%村民红利。</t>
  </si>
  <si>
    <t>2024年度孤山镇李家洼村经济联合社旱作集成种植项目</t>
  </si>
  <si>
    <t>利用旱作集成种植技术，通过铺设地膜、实施抗旱保水剂，增强土壤蓄水保墒和抗旱能力，经营种植1200亩玉米。</t>
  </si>
  <si>
    <t>李家洼村</t>
  </si>
  <si>
    <t>通过铺设地膜、实施抗旱保水剂，增强土壤蓄水保墒和抗旱能力，增加粮食产量，充分带动当地集体经济增收。受益农户51户96人，其中脱贫户3户6人，亩均增收200元。收益30%用于村集体发展，70%村民红利。</t>
  </si>
  <si>
    <t>2024年度孤山镇沙坬村经济联合社旱作集成种植项目</t>
  </si>
  <si>
    <t>利用旱作集成种植技术，通过铺设地膜、实施抗旱保水剂，增强土壤蓄水保墒和抗旱能力，经营种植1600亩玉米.</t>
  </si>
  <si>
    <t>通过铺设地膜、实施抗旱保水剂，增强土壤蓄水保墒和抗旱能力，增加粮食产量，充分带动当地集体经济增收。受益农户425户1159人，其中脱贫户12户25人，监测户2户6人，亩均增收200元。收益30%用于村集体发展，70%村民红利。</t>
  </si>
  <si>
    <t>省级重点帮扶村项目、旱作集成技术推广项目</t>
  </si>
  <si>
    <t>2024年度麻镇便民服务中心刘家坪村灌溉水井建设及配套实施项目</t>
  </si>
  <si>
    <t>新建5口竖井，直径2米，深8米，配套2寸38米扬程水泵5个、1000米PE水管、1000米电线。</t>
  </si>
  <si>
    <t>产权归村集体所有。保障刘家坪村农田灌溉项目建成后，大力提升用水效率，增加作物产量，受益453户1121人，其中脱贫户15户34人，亩均增收200元。</t>
  </si>
  <si>
    <t>2024年古城镇古城村旱作节水农业项目</t>
  </si>
  <si>
    <r>
      <rPr>
        <sz val="14"/>
        <rFont val="仿宋"/>
        <charset val="134"/>
      </rPr>
      <t>计划新建灌溉面积1562亩，新建调节池1座(9000m</t>
    </r>
    <r>
      <rPr>
        <sz val="14"/>
        <rFont val="宋体"/>
        <charset val="134"/>
      </rPr>
      <t>³</t>
    </r>
    <r>
      <rPr>
        <sz val="14"/>
        <rFont val="仿宋"/>
        <charset val="134"/>
      </rPr>
      <t>)，新建管理房1处，配套滴灌首部枢纽设备1套，埋设0.6MPaDN200输水管10.132km，6寸单向出水口15个，6寸双向出水口107个，田间加压水泵1套(浮筒式)，并配套80KVA变压器1台。</t>
    </r>
  </si>
  <si>
    <t>项目建成后产权归村集体所有，大力提升用水效率，精准施肥、增加作物产量，亩均增收300元。受益农户1309户3131人，其中脱贫户31户50人。</t>
  </si>
  <si>
    <t>示范村项目、旱作节水项目</t>
  </si>
  <si>
    <t>2024年三道沟镇经济联合总社日光温室大棚附属设施建设项目</t>
  </si>
  <si>
    <t>在新庙村新建日光温室大棚配套设施，包括：
1.新建砖铺产业路，长1.5km、宽2.5m；
2.新建小型仓库6间（成品水泥房每间25㎡）。</t>
  </si>
  <si>
    <t>该项目建成后产权归镇集体经济联合总社所有，按照不低于6%的收益，预计年收益3.3万元。按照村集体经济收益分配方案，75%资金用于分红，10%资金用于村内公益性岗位开发补助，10%资金用于发展壮大再生产,5%资金用于风险基金。预计有农户3021户8191人受益，其中：脱贫户56户127人，监测户3户10人。</t>
  </si>
  <si>
    <t>2024年府谷镇果园葡萄园提升改造项目</t>
  </si>
  <si>
    <t>在葡萄园铺设宽0.6米，总长13500米的除草布。在果园铺设宽0.6米，总长50000米的除草布。</t>
  </si>
  <si>
    <t>建成后资产归柳林碛村经济联合社，受益农户354户962人，受益脱贫户12户18人。可以提高葡萄园和果园产量15%。</t>
  </si>
  <si>
    <t>2024年田家寨镇经济联合总社香菇菌棒生产车间建设项目</t>
  </si>
  <si>
    <t>购置一级搅拌罐1台；二级搅拌罐1台；震动过滤筛1台；一级螺旋提升机1台；二级螺旋提升机1台；三开口布料机1台；全智能电控柜1台；气泵1台；新款伺服装扎一体机3台；回旋爬坡机3台；平面输送带；灭菌柜1台；灭菌柜架子28个；生物质燃烧锅炉1台；香菇菌棒负压泡水机3台；筛菇机1台；电动20叉车1台；20装载机1台；新建彩钢车间250平米，硬化场地250平米。</t>
  </si>
  <si>
    <t>兴旺庄村</t>
  </si>
  <si>
    <t>项目建成后产权属于田家寨镇经济联合总社，能够充分发挥联合总社的持续带动作用，能有效降低香菇产出成本，提高香菇大棚产出效益，预计增收3.8万以上，收益的70%用于扶持产业项目后续发展，30%用于集体经济联合社分红；进一步巩固脱贫成果，壮大集体经济，带动全镇3842户10430人农户，其中脱贫户（含监测户）293户634人，稳固脱贫成果。</t>
  </si>
  <si>
    <t>2024年府谷镇温李河村经济联合社大棚建设项目</t>
  </si>
  <si>
    <t>新建暖棚6座，15米宽，60米长，5.5米高，并配套相关设施。</t>
  </si>
  <si>
    <t>温李河村</t>
  </si>
  <si>
    <t>建成后资产属于温李河村经济联合社，受益农户377户1069人，每年可以增加村集体经济收益12万元，受益30%提取公积金，70%用于分红。</t>
  </si>
  <si>
    <t>2024年府谷镇柳林碛村经济联合社果园配套设施建设项目</t>
  </si>
  <si>
    <t>1、建设砖铺果园道路600米（3米宽），上果园地路口砖铺路390平米，配套排水。2、安装果园供水管道，钢管600米，PE水管600米，软水管1100米。3、安装铁丝围栏1100米（1.8米高）。</t>
  </si>
  <si>
    <t>建成后资产归柳林碛村经济联合社，受益农户。356户962人，受益脱贫户12户18人。</t>
  </si>
  <si>
    <t>2024年府谷镇柳林碛经济联合社产业园储藏室建设项目</t>
  </si>
  <si>
    <t>安装成品水泥房储藏室6间（每间25平米）及配套设施。</t>
  </si>
  <si>
    <t>建成后资产归柳林碛村经济联合社，受益农户356户962人，受益脱贫户12户18人。</t>
  </si>
  <si>
    <t>2024年度哈镇硬路塔村集体经济合作社双膜拱棚巩固提升项目</t>
  </si>
  <si>
    <t>为我村2018年建设的40座双膜拱棚更换长70米、宽12米的膜40张。</t>
  </si>
  <si>
    <t>该项目产权归村集体所有，项目完成后收益归合作社所有，通过更换现有40座双膜拱棚双层膜，确保双膜拱棚持续正常发挥经济效益，带动当地集体经济增收，提高村集体收入，村集体经济年收益可增加4万元。村集体经济收益分配为：10%作为项目可持续发展资金，剩余的90%作为人口股、土地股、集体股、脱贫户优先股的利润分红，其中收益的5%优先分配于以土地入股的村民，3%作为脱贫户和监测户优先股，剩余按人头股进行分红。</t>
  </si>
  <si>
    <t>2024年度庙沟门镇沙梁村经济联合社蔬菜大棚维修项目</t>
  </si>
  <si>
    <t>更换20座蔬菜大棚的塑料膜，膜厚12丝，共28000平米，20个大棚对头加固，更换入户门。</t>
  </si>
  <si>
    <t>庙沟门镇</t>
  </si>
  <si>
    <t>沙梁村</t>
  </si>
  <si>
    <t>该项目产权归村集体所有，大棚维修后可拓宽村民（脱贫户）增收渠道，带动村集体经济年增收20万元，改善困难群众生活，带动329户978人脱贫户9户13人（含监测户1户4人）增收。</t>
  </si>
  <si>
    <t>庙沟门镇人民政府</t>
  </si>
  <si>
    <t>2024年度碛塄农业园区碛塄村采摘园建设项目</t>
  </si>
  <si>
    <t>在石堡自然村果树种植50亩，包括采摘园平整，种植杏树、桃树、核桃树、西梅等苗木2500株。</t>
  </si>
  <si>
    <t>产权归集体所有，发展村集体经济，增加收入，促进村集体经济收入增长，提供就业岗位，带动群众致富。受益群众443户1123人，其中脱贫户8户14人，预计收入3万元，提取10%为公积公益金，40%后期管护打理工作，股东红利分配按照50%。</t>
  </si>
  <si>
    <t>2024年墙头农业园区冯家会村大棚维修项目</t>
  </si>
  <si>
    <t>维修冯家会村暖棚4座，主要更换4座大棚棚膜，总计3200平方米；4座大棚棉被，总计3600平方米；4个棉被卷帘机；电线1盘；风口装置4套；配套防坠网。</t>
  </si>
  <si>
    <t>冯家会村</t>
  </si>
  <si>
    <t>产权归村集体所有，大棚维修后，可以种植反季经济作物，提高村集体收入，预计带动村集体经济每年增收1万元。总受益410户1094人，其中脱贫户18户40人，监测户1户4人。提取10%为公积公益金，40%为后期管护打理，50%为股东红利分配。</t>
  </si>
  <si>
    <t>2024年清水镇枣林峁村蔬菜大棚更换棚膜项目</t>
  </si>
  <si>
    <t>更换20座长60米、宽8米蔬菜大棚塑料膜，每个蔬菜大棚塑料膜面积840平方米，共计16800平方米。</t>
  </si>
  <si>
    <t>枣林峁村</t>
  </si>
  <si>
    <t>项目建成后，产权归集体经济合作社所有，预计村集体增收2.4万元。受益群众367户940人，其中脱贫户（监测户）23户42人。</t>
  </si>
  <si>
    <t>2024年度碛塄农业园区郝家寨果园提升改造项目</t>
  </si>
  <si>
    <t>郝家寨村集体100亩果园提升改造，包括除草浇水修建施肥等。</t>
  </si>
  <si>
    <t>产权归村集体所有，此项目实施后，可以为郝家寨果园提高产量，带动效益。受益户403户1036人，其中脱贫户13户23人。</t>
  </si>
  <si>
    <t>2024年度老高川镇镇丁家伙盘村经济联合社蔬菜大棚维修项目</t>
  </si>
  <si>
    <t>更换6座蔬菜大棚的塑料膜，膜厚12丝，共8500平米，六个大棚对头加固，更换入户门。</t>
  </si>
  <si>
    <t>老高川镇</t>
  </si>
  <si>
    <t>丁家伙盘村</t>
  </si>
  <si>
    <t>该项目产权归村集体所有，大棚维修后可拓宽村民（脱贫户）增收渠道，带动村集体经济年增收10万元，改善困难群众生活，带动100户328人脱贫户2户2人增收。</t>
  </si>
  <si>
    <t>老高川镇人民政府</t>
  </si>
  <si>
    <t>2024年府谷镇西山村经济联合社日光温室大棚建设项目</t>
  </si>
  <si>
    <t>新建日光温室大棚2座，长50米，宽12米，高4.1米</t>
  </si>
  <si>
    <t>西山村</t>
  </si>
  <si>
    <t>建成后资产归西山村经济联合社，受益脱贫户13户22人，受益农户342户969人，每年可增加村集体经济收益6万，其中50%提取公积金，50%用于分红。</t>
  </si>
  <si>
    <t>2024年府谷镇柳林碛村经济联合社大棚无土栽培项目</t>
  </si>
  <si>
    <t>放置有机种植袋，袋宽40CM，间距40CM，两侧与大棚边缘间距100CM,15个大棚总共需要配套滴管长度13312.5m，除草布面积9750㎡</t>
  </si>
  <si>
    <t>建成后资产归柳林碛村经济联合社，受益农户356户962人，受益脱贫户12户18人，该项目可以增加村集体经济收益10万，收益30%提取公积金，70%用于分红</t>
  </si>
  <si>
    <t>2024年度武家庄镇经济联合总社大棚示范项目</t>
  </si>
  <si>
    <t>流转大棚24座，更换（棉被2.2m×10m）548块；草莓高架栽培槽长7m/行，145行；番茄导水槽7m/行，500行；镀锌帆布蓄水池（直径6m，高3m），5个；围栏（2*3m）312张及其他等。</t>
  </si>
  <si>
    <t>见虎焉村</t>
  </si>
  <si>
    <t>该项目建成后产权归镇联合总社所有，预计年收益3万元。收益的40%用于提取公积金，50%用于村级经济联合社分红、“削薄培强”等，10%用于对低收入群体进行帮扶等，预计有农户6281户16548人受益，其中脱贫户及监测对象310户594人。</t>
  </si>
  <si>
    <t>2024年度黄甫镇西王寨村经济联合社水产养殖场配套项目</t>
  </si>
  <si>
    <t>安装50KVA变压器一台，三项高压电线500米，电杆两根及其他配套设施。</t>
  </si>
  <si>
    <t>西王寨村</t>
  </si>
  <si>
    <t>产权归西王寨村集体经济联合社所有，受益农户594户1471人，其中脱贫户16户25人，监测户1户2人。有效解决西王寨村经济联合社水产养殖场供电问题，助力村集体经济发展。</t>
  </si>
  <si>
    <t>2024年大昌汗镇大昌汗村经济联合社养殖项目</t>
  </si>
  <si>
    <t>盘活陈家塔村经济合作社现有养殖场，新购买红秦川牛50头，发展肉牛产业，壮大集体经济。</t>
  </si>
  <si>
    <t>该项目产权归大昌汗村经济联合社所有，发展壮大村集体经济，预计年收益达3万元；按照村集体经济收益分配方案分配收益：10%资金用于脱贫户、三类户带贫益贫资金，40%资金用于股民分红，20%资金用于村级组织运转经费和发展公益事业，30%资金用于发展壮大再生产。受益群众519户1519人其中脱贫户13户21人。</t>
  </si>
  <si>
    <t>2024年度碛塄农业园区郝家寨村联合社鱼塘改造项目</t>
  </si>
  <si>
    <t>防护栏160米，清理水池内杂物，购置增氧设备2台，养鱼附属设施</t>
  </si>
  <si>
    <t>产权归村集体所有。鱼塘建成后每年增加村集体收入不低于3万元，鱼塘建设有益于增加村民收入以及村民就业岗位，也助于集体产业发展壮大，收益403户976人，其中脱贫户13户23人。</t>
  </si>
  <si>
    <t>2024年墙头农业园区前园则村合作社羊子养殖配套项目</t>
  </si>
  <si>
    <t>新建羊子养殖厂圆形砖混高位水池100方一个，砖砌湖羊产房2间，养殖场24砖砌围墙200米。</t>
  </si>
  <si>
    <t>产权归村集体经济合作社，建成后高位水池储水可解决200余只羊子饮水问题；产房可提高羔羊存活率。预计村集体年增收3万余元。收益的70%用于产业扶持产业后续发展，30%用于集体经济合作社分红。带动287户936人，其中脱贫户15户42人、监测户2户4人增加收入，稳固脱贫成果。</t>
  </si>
  <si>
    <t>2024年清水镇经济联合总社肉牛养殖扩建项目</t>
  </si>
  <si>
    <t>新建长45米、宽30米牛棚一个，长30米、宽18米草料棚一个及防疫通道，立铺红砖1200平方米，硬化过道800米，购买肉牛80头，及地泵、叉车、小型清粪铲车等相关配套设施，扩大枣林峁村肉牛养殖厂规模。</t>
  </si>
  <si>
    <t>以镇联合总社经营，产权归镇总社所有，枣林峁村以土地入股，为集体每年增加收入12万元，收益40%归枣林峁村、60%归总社分配及带动其他8个村，受益群众4129户10890人，其中脱贫户（包含监测户）176户332人</t>
  </si>
  <si>
    <t>2024年新民镇新民村集体经济联合社梅花鹿养殖项目</t>
  </si>
  <si>
    <t>建设梅花鹿养殖基地，新修圈舍4个，规格15米*20米，新建草料库一间，规格20米*25*5.5米；新建消毒室1间、防疫室1间、屠宰室1间、冷冻室1间、监控室1间、库房2间。购置15kw揉丝铡草机1台，1吨自吸粉玉米桶1台。引种梅花鹿80只。</t>
  </si>
  <si>
    <t>新民村</t>
  </si>
  <si>
    <t>该项目产权归新民村集体经济联合社所有，发展壮大村集体经济，项目建成后，共受益农户473户1394人，其中脱贫户7户10人，监测户1户4人。预计联合社年收入15万元左右，带动就业人数10人。联合社收益30%用于提取公益公积金，70%用于分红。</t>
  </si>
  <si>
    <t>2024年度木瓜镇前梁村集体经济合作新型非粮生物质饲料化和肥料化利用设施设备工程</t>
  </si>
  <si>
    <t>计划建设年产微生物蛋白饲料1000吨、液体腐殖酸肥500吨的非粮生物质高值化利用示范基地，可实现年收入300万元。具体建设内容为：购置液体发酵罐2台；轨道式灭菌箱1台；移位换槽机车2台；自动布料机1台；液压升降翻抛一体机1台；皮带输送机1台；熟料仓2台；爆气系统8套；发酵槽墙体4条；发酵槽清扫机1台；自动化集中控制系统1套。</t>
  </si>
  <si>
    <t>该项目产权归前梁村集体所有，项目前期由合作方承包运营，村集体负责后续管护。项目实施后，可回收利用万亩有机糜谷基地秸秆及全镇玉米秸秆，按照不低于6%的收益，预计年收益18万元，按照村集体经济收益分配方案，75%资金用于分红，10%资金用于村内公益性岗位开发补助，10%资金用于发展壮大再生产,5%资金用于风险基金；预计有农户68户194人受益，其中脱贫户7户11人。</t>
  </si>
  <si>
    <t>2024年度碛塄农业园区碛塄村经济联合社小龙虾养殖基地配套项目</t>
  </si>
  <si>
    <t>碛塄村经济联合社小龙虾养殖基地购买虾苗10000斤，建设库房1座，产品包装设计及包装盒等。</t>
  </si>
  <si>
    <t>产权归集体所有，发展村集体经济，增加收入，促进村集体经济收入增长，提供就业岗位，带动群众致富。受益群众443户1123人，其中脱贫户10户19人，预计收入3万元，提取10%为公积公益金，40%后期管护打理工作，股东红利分配按照51%。</t>
  </si>
  <si>
    <t>2024年度海则庙便民服务中心海则庙村经济联合社肉牛养殖场项目</t>
  </si>
  <si>
    <t>新建肉牛养殖场，建设长50米，宽15米的牛棚2个，长50米、宽12米的草料棚，长20米、宽5米的库房、防疫室、消毒室，200平方米的青储池，并配套水电改造等附属设施。</t>
  </si>
  <si>
    <t>项目建成后，产权归村集体所有，发展村集体产业项目，村集体经济预计增收10万元，户均增收约200元。受益农户560户1736人，其中脱贫户38户83人，监测户1户2人。受益10%用于提取公益金，10%提取用于公积金，5%用于提取风险基金，75%用于股东红利分配。</t>
  </si>
  <si>
    <t>2024年府谷镇河塔村经济联合社养牛场草料库扩建项目</t>
  </si>
  <si>
    <t>长35米，宽20米，高7米草料库房一座（底层60CM高37砖墙，其余部分彩钢结构，彩钢顶），棚内硬化20公分厚</t>
  </si>
  <si>
    <t>河塔村</t>
  </si>
  <si>
    <t>建成后资产属于河塔村经济联合社，保障养牛场的草料供应，实施改项目可以间接增加村集体经济收入2万元，收益30%提取公积金，70%用于分红，受益农户318户815人，受益脱贫户11户23人</t>
  </si>
  <si>
    <t>2024年度武家庄镇贺家堡村经济联合社养殖场后续建设项目</t>
  </si>
  <si>
    <t>续建砖混400平米牛棚一座（砖墙高1.2m、厚2.4cm）；砖混结构草料库200平米一座；清粪车1辆；肉牛50头；场地水泥硬化450㎡；砖铺道路400米、宽3米、厚12cm等。</t>
  </si>
  <si>
    <t>贺家堡村</t>
  </si>
  <si>
    <t>产权归村集体经济所有，进一步巩固集体产业，增加效益，预计每年为村集体经济增加收入5万元，受益群众596户1498人，其中脱贫户34户71人，收益的30%用于提取公积公益金，30%用于壮大集体经济联合社，40%用于村内分红。</t>
  </si>
  <si>
    <t>2024年府谷镇河塔村经济联合社气调冷库建设项目</t>
  </si>
  <si>
    <t>建设长10、宽3、高2.5米的气调冷冻库，配套冷冻机组等先关配套设施。</t>
  </si>
  <si>
    <t>建成后资产属于河塔村经济联合社，增加提高牛肉保质期20%，受益农户318户815人，受益脱贫户11户23人。</t>
  </si>
  <si>
    <t>2024年度碛塄农业园区郝家寨村民俗村网红小院改造项目</t>
  </si>
  <si>
    <t>改造3个院落共500平米及13孔窑洞；每个院内搭茅草顶凉亭，配套石桌石凳，建花池种植花草，并设栅栏；室内外墙面处理，室内外电路改造及照明，室内地面处理，室内购置摆放老旧家具大门改造。</t>
  </si>
  <si>
    <t>产权归村集体所有，民俗村改造网红小院引流带动餐饮，民俗村发展。建成后每年增加村集体收入不低于3万元，带动农村旅游业发展，增加村民就业也助于集体产业发展壮大，收益403户976人，其中脱贫户14户24人。提取25%为公积公益金，75%股东红利分配。</t>
  </si>
  <si>
    <t>2024年度碛塄农业园区郝家寨村旧学校改造民宿项目</t>
  </si>
  <si>
    <t>改造2个院落:改造原6间大教室、2间小教室、7孔窑洞。更换门窗245平米，改造大门1副、围墙长30米高2米，以及改造院子100平米，改造6间教室隔断，以及7孔窑洞，窑洞顶做防水400平米。购置19间民宿室内用品。改造水电等。</t>
  </si>
  <si>
    <t>产权归村集体所有，旧学校改造民宿引流带动餐饮，旅游发展。建成后每年增加村集体收入不低于5万元，带动农村旅游业发展，增加村民就业也助于集体产业发展壮大，收益403户1036人，其中脱贫户13户23人。提取25%为公积公益金，75%股东红利分配。</t>
  </si>
  <si>
    <t>2024年度碛塄农业园区郝家寨村新建游客服务中心</t>
  </si>
  <si>
    <t>大寨自然村村口新建占地共计200平米的游客接待大厅以及配套2000平米停车场，以及配套公厕和水电。</t>
  </si>
  <si>
    <t>产权归村集体所有，郝家寨游客服务中心带动餐旅游业发展。建成后每年增加村集体收入带动农村旅游业发展，增加村民就业也助于集体产业发展壮大，收益403户1036人，其中脱贫户13户23人。</t>
  </si>
  <si>
    <t>2024年度碛塄农业园区郝家寨乡村旅游产业项目</t>
  </si>
  <si>
    <t>新增摆渡车5台，新建碰碰车场，碰碰车10台。沙地四轮摩托车12台，庙壕新建占地1000平米无动力乐园其中包括人力过山车、滑梯，丛林穿越，户外攀爬，秋千乐园，蹦蹦床，蹦蹦云。羊道头放置成品房20间，购买水上摩托艇5辆，脚踏船5艘橡皮艇10艘，水上滚筒5个等水上游乐设备。</t>
  </si>
  <si>
    <t>产权归村集体所有，新增乡村旅游项目可带动郝家寨村餐饮，旅游发展。建成后每年增加村集体收入不低于15万元，带动农村旅游业发展，增加村民就业也助于集体产业发展壮大，受益403户1036人，其中脱贫户13户23人。提取25%为公积公益金，75%股东红利分配。</t>
  </si>
  <si>
    <t>2024年度碛塄农业园区碛塄村乡村旅游产业项目</t>
  </si>
  <si>
    <t>新建移动民宿4个，单个面积约40平方米，包括场平、基础及步道建设，砂石路1公里（3米宽），配套水电设施设备。</t>
  </si>
  <si>
    <t>产权归集体所有，发展村集体经济，增加收入，促进村集体经济收入增长，提供就业岗位，带动群众致富。受益群众443户1123人，其中脱贫户及监测户9户18人，预计年收入5万元，提取10%为公积公益金，40%后期运营管理工作，股东红利分配按照50%。</t>
  </si>
  <si>
    <t>2024年度孤山镇南关村经济联合社光伏电站基地建设项目</t>
  </si>
  <si>
    <t>利用现有南关村停车场护坡面积约1640㎡，建设光伏电站1座。总装机容量343kWp，安装660W光伏发电组件520块，逆变器4台，110kw并网箱4台，电压互感器4台，同时配备电缆、电缆连接线等设备。</t>
  </si>
  <si>
    <t>南关村</t>
  </si>
  <si>
    <t>项目建成后产权归村集体所有，发展新型光伏产业，带动村集体经济发展。建设后预计每年为村集体带来20万元收入，带动全村444户1019户发展，其中脱贫户11户27人。收益60%用于村民红利，40%用于村集体发展资金。</t>
  </si>
  <si>
    <t>2024年度哈镇大阴湾村屋顶光伏建设项目</t>
  </si>
  <si>
    <t>在大阴湾村新建分散式屋顶光伏电站，占用集体所有产权屋顶面积3800平方米，安装540组件1400块、总装机容量380KWP屋顶光伏电站；同时配套购买390kVA终端箱变一台、高压计量柜一套、高压开关一套，同步配套电缆、电缆连接线等设备。</t>
  </si>
  <si>
    <t>大阴湾村</t>
  </si>
  <si>
    <t>该项目产权归村集体所有，项目建成后，预计年发电量820800KWH,带动村集体年增收30万元，受益农户568户1421人，其中脱贫户51户111人。收益10%用于提取公益金，10%用于提取公积金，5%用于提取风险基金，75%用于股东红利分配。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</si>
  <si>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2024年度麻镇便民服务中心坪伦墩村村集体经济联合社8万立方米水库水上光伏发电项目</t>
  </si>
  <si>
    <t>建设100米*200米并网型太阳能光伏发电系统，计划安装540wp单晶硅高效组件6500块，设计容量200万Kwp，发电量全部用于并网出售。包括太阳能光伏发电系统以及相应的配套太阳能板、并网设施。</t>
  </si>
  <si>
    <t>坪伦墩村</t>
  </si>
  <si>
    <t>该项目产权归坪伦墩村集体所有，带动坪伦墩村集体经济联合社年增收60万元，新增村级公益性岗位10个，人均年增收1200元。受益农户708户1756人，其中脱贫户34户70人，收益分配以分红及以工代赈方式不低于收益的26%进行分配。</t>
  </si>
  <si>
    <t>2024年度麻镇便民服务中心麻镇村集体经济联合社分布式屋顶光伏项目</t>
  </si>
  <si>
    <t>麻镇村集体经济联合社新建分布式屋顶光伏电站，占用集体所有产权屋顶面积1200平方米，计划安装550W光伏组件400块，设计容量220KW，发电量全部用于并网出售。</t>
  </si>
  <si>
    <t>麻镇村</t>
  </si>
  <si>
    <t>该项目产权归麻镇村集体所有，建成并网后带动麻镇村集体经济联合社年增收约14万元，受益农户483户1238人，其中脱贫户20户36人，监测户2户4人。</t>
  </si>
  <si>
    <t>2024年墙头农业园区分散式屋顶光伏发电项目</t>
  </si>
  <si>
    <t>购置屋顶光伏发电设备及配套设施建设，利用闲置屋顶3740㎡，建设总装机规模800KW。预计需540WP光伏组件750片，配套购买250KW光伏逆变器5台、并网柜5个，交流电缆600米，直流线3000米。发电量全部用于并网出售。</t>
  </si>
  <si>
    <t>墙头村、前园则村、冯家会村、尧峁村、尧渠村</t>
  </si>
  <si>
    <t>产权归村集体经济合作社，各村建筑物闲置屋顶面积较大，电网接入便捷，项目实施地水、电、路、通讯、网络等设施齐全，项目投资门槛较低。建成后预计增加收入15万，其中75%用于项目后续发展，25%用于村集体分红。带动全村受益1828户4933人，其中脱贫户90户216人，监测户10户20人增加收入，稳固脱贫成果。</t>
  </si>
  <si>
    <t>2024年清水镇元峁村集体经济联合社元峁幸福院光伏电站建设项目</t>
  </si>
  <si>
    <t>元峁幸福院屋顶光伏电站、安装540WP光伏组件112块、总装机容量60.48kW，配套购买60KW光伏逆变器1台、并网柜一个，交流电缆150米，直流线800米;安装100kVA终端变压器一台、高压计量柜一套、高压开关一套、同步配套电缆、电缆连接线等设备</t>
  </si>
  <si>
    <t>元峁村</t>
  </si>
  <si>
    <t>产权为村集体所有，项目建成后，预计年均发电量102200KWH，带动村集体年增收约3.6万元，收益的40%用于村内公益事业支出，40%用于救助困难群体，20%用于村内奖励补助。受益农户562户1437人，其中脱贫户（包含监测户） 23户37人。</t>
  </si>
  <si>
    <t>2024年清水镇元峁村集体经济联合社靳家塔幸福院光伏电站建设项目</t>
  </si>
  <si>
    <t>靳家塔幸福院屋顶光伏电站，安装545WP光伏组件92块、总装机容量50.14kW，配套购买50KW光伏逆变器1台、并网柜一个，交流电缆200米，直流线500米等</t>
  </si>
  <si>
    <t>产权为村集体所有，项目建成后，预计年均发电量87600KWH，带动村集体年增收约3.06万元，收益的40%用于村内公益事业支出，40%用于救助困难群体，20%用于村内奖励补助。受益农户562户1437人，其中脱贫户（包含监测户） 23户37人。</t>
  </si>
  <si>
    <t>2024年清水镇枣林峁村集体经济联合社光伏电站建设项目</t>
  </si>
  <si>
    <t>在枣林峁村梁组安装545WP光伏组件600块、总装机容量320KWP光伏电站,项目占地面积1500平方米，配套购买60KW光伏逆变器6台、光伏汇流并网柜一台、交流电缆150米，直流线1500米、安装600kVA终端箱变一台、高压计量柜一套、高压开关一套同步配套电缆、电缆连接线等设备。</t>
  </si>
  <si>
    <t>产权归村集体所有，项目建成后，预计年发电量306180KWH，带动村集体年增收10万元，收益的80%用于村内公益事业、开发公益岗位等带动就业，20%用于村集体总体分配，提取公益金、公积金。受益农户367户940人，其中脱贫户（包含监测户） 24户43人</t>
  </si>
  <si>
    <t>2024年清水镇小字村集体经济联合社光伏电站规模扩大项目</t>
  </si>
  <si>
    <t>小字村幸福院屋顶光伏电站，屋顶面积570平米，总装机容量60KW，用540WP光伏组件112片，配套购买60KW光伏逆变器1台、并网柜一个，交流电缆120米，直流线600米。</t>
  </si>
  <si>
    <t>小字村</t>
  </si>
  <si>
    <t>产权归村集体，项目为村集体每年带来3.6万元收益，收益的80%用于村内公益事业支出，带动3户3人就业，20%用于村集体总体分配。受益农户370户1070人，其中脱贫户16户31人</t>
  </si>
  <si>
    <t>2024年田家寨镇兴旺庄村集体经济联合社新建分散式屋顶光伏电站项目</t>
  </si>
  <si>
    <t>利用田家寨镇兴旺庄村集体经济联合社屋顶面积1000平方米，建设237KWp屋顶分布式光伏发电项目及配套设施，所发电量全部上网。</t>
  </si>
  <si>
    <t>项目建成后产权属于兴旺庄村集体经济联合社，发展新型节能产业，预计增加收入4.4万，其中75%用于项目后续发展，25%用于村集体分红。带动全村549户1482人，其中脱贫户和监测户45户106人，发展壮大村集体经济，提升和改善村民生活条件及环境，发展乡村旅游，拓宽村民增收渠道。</t>
  </si>
  <si>
    <t>2024年田家寨镇村集体经济联合社李岔村新建分散式屋顶光伏电站项目</t>
  </si>
  <si>
    <t>利用田家寨镇李岔村集体经济联合社屋顶面积1000平方米，建设237KWp屋顶分布式光伏发电项目及配套设施，所发电量全部上网。</t>
  </si>
  <si>
    <t>项目建成后产权属于李岔村庄村集体经济联合社，发展新型节能产业，预计增加收入4.4万，其中75%用于项目后续发展，25%用于村集体分红带动全村517户1353人，其中脱贫户和监测户57户170人，发展壮大村集体经济，提升和改善村民生活条件及环境，降低生活成本，拓宽村民增收渠道。</t>
  </si>
  <si>
    <t>2024年庙沟门镇化皮沟集体经济联合社光伏电站建设项目</t>
  </si>
  <si>
    <t>化皮沟幸福院屋顶光伏电站、安装545WP光伏组件230块、总装机容量125.3kW，配套购买50KW光伏逆变器1台、40KW光伏逆变器2台，汇流并网柜一个，交流电缆120米，直流线800米。</t>
  </si>
  <si>
    <t>化皮沟村</t>
  </si>
  <si>
    <t>该项目产权归村集体所有，项目建成后，预计年均发电量182500KWH，带动村集体年增收约7.2万元，受益农户584户1654人，其中脱贫户6户12人 。按照村集体经济收益分配方案，收益按照不低于6%的收益提取。75%资金用于分红，10%资金用于村内公益性岗位开发补助，10%资金用于发展壮大再生产，5%资金用于风险基金。</t>
  </si>
  <si>
    <t>2024年庙沟门镇杨家梁集体经济联合社光伏电站建设项目</t>
  </si>
  <si>
    <t>杨家梁村安装545WP光伏组件164块、总装机容量89.3KWP光伏电站，配套购买50KW光伏逆变器1台、40KW光伏逆变器1台光伏汇流并网柜一台、交流电缆140米，直流线1100米。</t>
  </si>
  <si>
    <t>杨家梁村</t>
  </si>
  <si>
    <t>该项目产权归村集体所有，项目建成后，预计年发电量306180KWH，带动村集体年增收约4.5万元，受益农户321户944人，其中脱贫户8户18人。按照村集体经济收益分配方案，收益按照不低于6%的收益提取。75%资金用于分红，10%资金用于村内公益性岗位开发补助，10%资金用于发展壮大再生产，5%资金用于风险基金。</t>
  </si>
  <si>
    <t>2024年庙沟门镇贺家梁集体经济联合社光伏电站建设项目</t>
  </si>
  <si>
    <t>贺家梁村委和幸福院屋顶光伏电站，，总装机容量70.4KW，用550WP光伏组件128片，配套购买40KW光伏逆变器2台、并网柜一个，交流电缆260米，直流线500米。</t>
  </si>
  <si>
    <t>贺家梁村</t>
  </si>
  <si>
    <t>该项目产权归村集体，项目为村集体每年带来约3.6万元收益，受益农户350户1033人，其中脱贫户14户29人。按照村集体经济收益分配方案，收益按照不低于6%的收益提取。75%资金用于分红，10%资金用于村内公益性岗位开发补助，10%资金用于发展壮大再生产，5%资金用于风险基金。</t>
  </si>
  <si>
    <t>2024年庙沟门镇赵五家湾集体经济联合社光伏电站建设项目</t>
  </si>
  <si>
    <t>赵五家湾村屋顶光伏电站，总装机容量140KW，用545WP光伏组件257片，配套购买40KW光伏逆变器2台、50KW光伏逆变器1台，并网柜一个，交流电缆100米，直流线450米。</t>
  </si>
  <si>
    <t>赵五家湾村</t>
  </si>
  <si>
    <t>该项目产权归村集体，项目为村集体每年带来8.4万元收益，受益农户520户1566人，其中脱贫户67户158人。按照村集体经济收益分配方案，收益按照不低于6%的收益提取。75%资金用于分红，10%资金用于村内公益性岗位开发补助，10%资金用于发展壮大再生产，5%资金用于风险基金。</t>
  </si>
  <si>
    <t>2024年庙沟门镇庙沟门村集体经济联合社光伏电站建设项目</t>
  </si>
  <si>
    <t>庙沟门村屋顶安装550WP光伏组件240块、总装机容量132KW，两个并网点，配套60KW光伏逆变器两台台、汇流并网柜两个，交流电缆300米，直流线2000米;含全部配套支架，挡风金属围挡，光伏阳光棚。</t>
  </si>
  <si>
    <t>庙沟门村</t>
  </si>
  <si>
    <t>该项目产权归村集体所有，项目建成后，预计年发电量280000KWH，带动村集体年增收约4.3万元，受益农户565户1738人，其中脱贫户及监测户6户6人。按照村集体经济收益分配方案，收益按照不低于6%的收益提取。75%资金用于分红，10%资金用于村内公益性岗位开发补助，10%资金用于发展壮大再生产，5%资金用于风险基金。</t>
  </si>
  <si>
    <t>2024年度海则庙便民服务中心高粱沟村青阳焉组屋顶光伏建设项目</t>
  </si>
  <si>
    <t>在青阳墕旧村委、青阳墕幸福院屋顶合计面积1200平方米安装550W光伏板500块，500KW变压器1台，配套逆变器、支架、防水型光伏槽盒、交直流电缆及并网设备及其他辅材。</t>
  </si>
  <si>
    <t>高粱沟村</t>
  </si>
  <si>
    <t>项目建成后，产权归村集体所有，预计年发电量35万度，带动村集体年增收约12万元。受益农户565户1580人，其中脱贫户30户58人，监测户1户1人，受益10%用于提取公益金，10%提取用于公积金，5%用于提取风险基金，75%用于股东红利分配。</t>
  </si>
  <si>
    <t>2024年度海则庙便民服务中心磁尧沟村屋顶光伏建设项目</t>
  </si>
  <si>
    <t>在磁尧沟村委屋顶及广场合计面积690平方米安装550W光伏板290块，500KW变压器1台，配套逆变器、支架、防水型光伏槽盒、交直流电缆及并网设备及其他辅材。</t>
  </si>
  <si>
    <t>磁尧沟村</t>
  </si>
  <si>
    <t>项目建成后，产权归村集体所有，项目建成后，预计年发电量20万度，带动村集体年增收约8万元。受益农户444户1240人，脱贫户16户36人，监测户1户2人，受益10%用于提取公益金，10%提取用于公积金，5%用于提取风险基金，75%用于股东红利分配。</t>
  </si>
  <si>
    <t>2024年老高川镇老高川村集体经济联合社光伏电站建设项目</t>
  </si>
  <si>
    <t>老高川村安装545WP光伏组件192块、总装机容量104KWP光伏电站，配套购买2台50KW光伏逆变器、1台光伏汇流并网柜、交流电缆160米，直流线1200米，更换变压器线路500米。</t>
  </si>
  <si>
    <t>老高川村</t>
  </si>
  <si>
    <t>该项目产权归村集体所有，项目建成后，预计年发电量15.6万KWH，带动村集体年增收约5万元，受益农户491户1475人，其中脱贫户及监测户10户22人。按照村集体经济收益分配方案，收益按照不低于6%的收益提取。75%资金用于分红，10%资金用于村内公益性岗位开发补助，10%资金用于发展壮大再生产，5%资金用于风险基金。</t>
  </si>
  <si>
    <t>2024年老高川镇磁窑村集体经济联合社光伏电站建设项目</t>
  </si>
  <si>
    <t>磁窑村安装545WP光伏组件192块、总装机容量104KWP光伏电站，配套购买2台50KW光伏逆变器、1台光伏汇流并网柜、交流电缆160米，直流线1200米，更换变压器线路500米。</t>
  </si>
  <si>
    <t>磁窑村</t>
  </si>
  <si>
    <t>该项目产权归村集体所有，项目建成后，预计年发电量15.6万KWH，带动村集体年增收约5万元，受益农户495户1459人，其中脱贫户及监测户19户33人。按照村集体经济收益分配方案，收益按照不低于6%的收益提取。75%资金用于分红，10%资金用于村内公益性岗位开发补助，10%资金用于发展壮大再生产，5%资金用于风险基金。</t>
  </si>
  <si>
    <t>2024年老高川镇枇杷沟村集体经济联合社光伏电站建设项目</t>
  </si>
  <si>
    <t>枇杷沟村安装545WP光伏组件192块、总装机容量104KWP光伏电站，配套购买2台50KW光伏逆变器,1台光伏汇流并网柜、交流电缆160米，直流线1200米，更换变压器线路500米。</t>
  </si>
  <si>
    <t>枇杷沟村</t>
  </si>
  <si>
    <t>该项目产权归村集体所有，项目建成后，预计年发电量15.6万KWH，带动村集体年增收约5万元，受益农户662户1593人，其中脱贫户及监测户30户55人。按照村集体经济收益分配方案，收益按照不低于6%的收益提取。75%资金用于分红，10%资金用于村内公益性岗位开发补助，10%资金用于发展壮大再生产，5%资金用于风险基金。</t>
  </si>
  <si>
    <t>2024年老高川镇长方梁村集体经济联合社光伏电站建设项目</t>
  </si>
  <si>
    <t>长方梁村安装545WP光伏组件192块、总装机容量104KWP光伏电站，配套购买2台50KW光伏逆变器,1台光伏汇流并网柜、交流电缆160米，直流线1200米，更换变压器线路500米。</t>
  </si>
  <si>
    <t>长方梁村</t>
  </si>
  <si>
    <t>该项目产权归村集体所有，项目建成后，预计年发电量15.6万KWH，带动村集体年增收约5万元，受益农户272户779人，其中脱贫户及监测户3户6人。按照村集体经济收益分配方案，收益按照不低于6%的收益提取。75%资金用于分红，10%资金用于村内公益性岗位开发补助，10%资金用于发展壮大再生产，5%资金用于风险基金。</t>
  </si>
  <si>
    <t>2024年老高川镇丁家伙盘村集体经济联合社光伏电站建设项目</t>
  </si>
  <si>
    <t>丁家伙盘村安装545WP光伏组件192块、总装机容量104KWP光伏电站，配套购买2台50KW光伏逆变器,1台光伏汇流并网柜、交流电缆160米，直流线1200米，更换变压器线路500米。</t>
  </si>
  <si>
    <t>该项目产权归村集体所有，项目建成后，预计年发电量15.6万KWH，带动村集体年增收约5万元，受益农户301户930人，其中脱贫户及监测户2户5人。按照村集体经济收益分配方案，收益按照不低于6%的收益提取。75%资金用于分红，10%资金用于村内公益性岗位开发补助，10%资金用于发展壮大再生产，5%资金用于风险基金。</t>
  </si>
  <si>
    <t>2024年老高川镇大伙盘村集体经济联合社光伏电站建设项目</t>
  </si>
  <si>
    <t>大伙盘村安装545WP光伏组件192块、总装机容量104KWP光伏电站，配套购买2台50KW光伏逆变器,1台光伏汇流并网柜、交流电缆160米，直流线1200米，更换变压器线路500米。</t>
  </si>
  <si>
    <t>大伙盘村</t>
  </si>
  <si>
    <t>该项目产权归村集体所有，项目建成后，预计年发电量15.6万KWH，带动村集体年增收约5万元，受益农户268户815人，其中脱贫户及监测户10户20人。按照村集体经济收益分配方案，收益按照不低于6%的收益提取。75%资金用于分红，10%资金用于村内公益性岗位开发补助，10%资金用于发展壮大再生产，5%资金用于风险基金。</t>
  </si>
  <si>
    <t>2024年度麻镇便民服务中心刘家坪村集体合作社分布式屋顶光伏项目</t>
  </si>
  <si>
    <t>刘家坪村集体合作社新建分散式屋顶光伏电站，占用集体所有产权屋顶面积1200平方米，计划安装540wp单晶硅高效组件400块，设计容量405Kwp，发电量全部用于并网出售。</t>
  </si>
  <si>
    <t>该项目产权归刘家坪村集体合作社所有，带动刘家坪村集体合作社年增收14万元，新增村级公益性岗位5个，人均年增收1200元。受益农户453户1121人，其中脱贫户15户34人。</t>
  </si>
  <si>
    <t>2024年度麻镇便民服务中心前尧湾村集体经济合作社分布式屋顶光伏项目</t>
  </si>
  <si>
    <t>前尧湾村集体经济合作社新建分散式屋顶光伏电站，占用集体所有产权屋顶面积2000平方米，计划安装540wp单晶硅高效组件650块，设计容量405Kwp，发电量全部用于并网出售。</t>
  </si>
  <si>
    <t>该项目产权归前尧湾村集体所有，带动麻镇村集体经济联合社年增收23万元，新增村级公益性岗位5个，人均年增收1200元。受益农户380户1020人，其中脱贫户17户30人。</t>
  </si>
  <si>
    <t>2024年度麻镇便民服务中心坪伦墩村集体经济联合社分布式屋顶光伏项目</t>
  </si>
  <si>
    <t>坪伦墩村集体经济联合社新建分散式屋顶光伏电站，占用集体所有产权屋顶面积2000平方米，计划安装540wp单晶硅高效组件650块，设计容量405Kwp，发电量全部用于并网出售。</t>
  </si>
  <si>
    <t>该项目产权归麻镇村集体所有，带动麻镇村集体经济联合社年增收23万元，新增村级公益性岗位5个，人均年增收1200元。受益农户708户1756人，其中脱贫户34户70人。</t>
  </si>
  <si>
    <t>2024年度麻镇便民服务中心埝墕村集体经济合作社分布式屋顶光伏项目</t>
  </si>
  <si>
    <t>埝墕村集体经济合作社新建分散式屋顶光伏电站，占用集体所有产权屋顶面积500平方米，计划安装540wp单晶硅高效组件160块，设计容量405Kwp，发电量全部用于并网出售。</t>
  </si>
  <si>
    <t>埝墕村</t>
  </si>
  <si>
    <t>该项目产权归麻镇村集体所有，带动麻镇村集体经济联合社年增收5万元，新增村级公益性岗位5个，人均年增收1200元。受益农户341户875人，其中脱贫户36户89人。</t>
  </si>
  <si>
    <t>2024年府谷县联村共建光伏项目</t>
  </si>
  <si>
    <t>遴选全县村集体经济收入在10万元以下的府谷镇西山村等65个光伏扶贫未覆盖行政村，采用集中联建方式，在府谷镇王家畔乔家峁村，全面建成分布式光伏发电项目13WM，市县资金按照，推进新能源发电产业逐渐成为农村经济的重要补20%：80%配置，积极发展壮大65个村集体经济。用地为天然牧草地。</t>
  </si>
  <si>
    <t>王家畔村</t>
  </si>
  <si>
    <t>巩固全县拓展脱贫攻坚成果，推动全县农村绿色能源开发利用，给乡村振兴事业提供坚强支撑，确保全县10万收益以下村组持续增收致富。按照每村200千瓦规模，集中建设总容量为13MW的光伏电站。各村以资金入股，收益按村分红。预计项目全面建成并网发电后，年可带动项目村集体经济增收8万元以上。</t>
  </si>
  <si>
    <t>2024年三道沟镇新庙村集体经济联合社分散式屋顶光伏建设项目</t>
  </si>
  <si>
    <t>在新庙村利用村委、旧学校等闲置屋顶新建分散式屋顶光伏电站，占用集体所有产权屋顶面积1700㎡，新庙村计划安装540wp单晶硅高效组件920块，设计容量500Kwp，包含变压器、防水基础处理。发电量全部用于并网出售。</t>
  </si>
  <si>
    <t>该项目建成后产权归村集体所有，按照不低于6%的收益，预计年收益13.5万元。按照村集体经济收益分配方案，75%资金用于分红，10%资金用于村内公益性岗位开发补助，10%资金用于发展壮大再生产,5%资金用于风险基金。预计有农户503户1419人受益，其中脱贫户4户8人、监测户1户3人。</t>
  </si>
  <si>
    <t>2024年三道沟镇三道沟村集体经济联合社分散式屋顶光伏建设项目</t>
  </si>
  <si>
    <t>在三道沟村利用村委等闲置屋顶新建分散式屋顶光伏电站，占用集体所有产权屋顶面积1000㎡，三道沟村计划安装540wp单晶硅高效组件405块，设计容量219Kwp，包含基础处理。发电量全部用于并网出售。</t>
  </si>
  <si>
    <t>该项目建成后产权归村集体所有，按照不低于6%的收益，预计年收益6.9万元。按照村集体经济收益分配方案，75%资金用于分红，10%资金用于村内公益性岗位开发补助，10%资金用于发展壮大再生产,5%资金用于风险基金。预计有农户427户1044人受益，其中脱贫户7户14人。</t>
  </si>
  <si>
    <t>2024年武家庄镇经济联合总社分散式屋顶光伏建设项目</t>
  </si>
  <si>
    <t>利用镇政府、周转房、区域养老服务中心等闲置屋顶5000平米新建分散式屋顶光伏电站，计划安装540wp单晶硅高效组件1923块，设计容量1058Kwp，包含变压器、防水基础处理，发电量全部用于并网出售。</t>
  </si>
  <si>
    <t>该项目建成后产权归镇联合总社所有，按照不低于6%的收益，预计年收益25万元。收益的40%用于区域养老服务中心公益事业支出以及维护电站正常运行，50%的收益用于14个村集体经济联合社削薄培强，10%的收益用于脱贫户、监测户的巩固提升。预计有农户6281户16548人受益，其中脱贫户及监测对象310户594人。</t>
  </si>
  <si>
    <t>2024年度武家庄镇白云乡村经济联合社光伏电站建设项目</t>
  </si>
  <si>
    <t>白云乡村计划安装540wp单晶硅高效组件390块，设计容量214Kwp，包含基础处理。</t>
  </si>
  <si>
    <t>白云乡村</t>
  </si>
  <si>
    <t>该项目建成后产权归村集体联合社所有，发展新型光伏产业，壮大村集体经济发展。建设后预计每年为村集体带来6万元收入，40%村集体提取公积公益金，用于扩大再生产和公益事业支出；50%用于分红；剩余10%用于巩固拓展脱贫户、监测对象成效，带动全村554户1439户发展，其中脱贫户25户44人，监测对象5户10人。监测对象5户10人</t>
  </si>
  <si>
    <t>2024年度碛塄农业园区碛塄村光伏电站建设项目</t>
  </si>
  <si>
    <t>在碛塄村新建分散式屋顶光伏电站一座。占用集体所有产权屋顶面积2500平方米，计划安装540wp单晶硅高效组件800块，设计容量450Kwp，发电量全部用于并网出售。</t>
  </si>
  <si>
    <t>产权归集体所有，发展村集体经济，增加收入，促进村集体经济收入增长，带动群众致富。受益群众443户1123人，其中脱贫户8户14人，预计收入10万元，提取10%为公积公益金，40%后期管护打理工作，股东红利分配按照50%。</t>
  </si>
  <si>
    <t>2024年麻镇便民服务中心麻镇村光伏并网电力配套项目</t>
  </si>
  <si>
    <t>麻镇村光伏并网电力配套项目，安装630KW专用箱变1台，配套高压电杆电线及并网电缆线。</t>
  </si>
  <si>
    <t>该项目产权归麻镇村集体所有，建成并网后带动麻镇村集体经济联合社年增收约35万元，受益农户483户1238人，脱贫户20户36人其中监测户2户4人。</t>
  </si>
  <si>
    <t>2024年碛塄农业园区郝家寨村经济联合社屋顶光伏项目</t>
  </si>
  <si>
    <t>利用郝家寨村村委、养老院、文化活动中心、旧学校等村集体房屋屋顶建设光伏，面积3500平方米，计划安装400KWP单晶硅高效组件，电量全部用于并网出售。</t>
  </si>
  <si>
    <t>产权归村集体所有，大棚建成后每年增加村集体收入不低于20万元，有益于增加村民收入以及村民就业岗位，也助于集体产业发展壮大，受益户403户976人，其中脱贫户13户23人。提取25%为公积公益金，75%股东红利分配。</t>
  </si>
  <si>
    <t>2024年大昌汗镇大昌汗村集体经济联合社新建分散式屋顶光伏电站项目</t>
  </si>
  <si>
    <t>占用集体所有产权屋顶面积682平方米，计划安装550wp单晶硅高效组件260块及辅材，设计容量145.5Kwp。</t>
  </si>
  <si>
    <t>项目建成后产权归村集体所有，预计全年收益9万元。受益农户519户1549人，其中脱贫户10户20人。</t>
  </si>
  <si>
    <t>2024年府谷镇西山村经济联合光伏电站建设项目</t>
  </si>
  <si>
    <t>计划安装120KWP单晶硅高效组件，电量全部用于并网出售。</t>
  </si>
  <si>
    <t>建成后资产归西山村经济联合社，受益农户342户969人，其中受益脱贫户13户22人，每年可收益4.8万，其中50%提取公积金，50%用于分红。</t>
  </si>
  <si>
    <t>2024年度木瓜镇联合总社加工厂黄米深加工配套食品包装设备</t>
  </si>
  <si>
    <t>为提高米小酥、黄米脆片等深加工产品机械化全自动包装效率，计划购置型号为ESS-200W的包装设备，主要有全自动往复式高速伺服包装机、定制加大十六头高速电子秤、加固加厚电子秤平台、定制款膨化食品上料机、充氮气结构、高速制氮机、色带打码机、成品输送机各1台和高速投包机2台，实现日产量8万件。</t>
  </si>
  <si>
    <t>木瓜村</t>
  </si>
  <si>
    <t>该项目产权归集体联合总社所有，能为加工厂配套包装设备，提升加工效能。项目建成后，按照不低于6%的收益，预计年收益4.8万元；按照村集体经济收益分配方案，75%资金用于分红，10%资金用于村内公益性岗位开发补助，10%资金用于发展壮大再生产,5%资金用于风险基金。预计有农户4479户12162人受益，其中脱贫户196户419人。</t>
  </si>
  <si>
    <t>2024年度木瓜镇联合总社加工厂黄米初加工配套食品包装设备</t>
  </si>
  <si>
    <t>为黄米、小米、豆类等小杂粮提供小型真空高速包装设备，计划购置6SXZ-252S（4通道）杂粮色选机2台，TS-32905提升机4台，六面体真空包装机1台，线性称一台，提升机一台，爬坡皮带线一套，实现日产量3万斤。</t>
  </si>
  <si>
    <t>该项目产权归集体联合总社所有，能为加工厂配套包装设备，提升加工效能。项目建成后，按照不低于6%的收益，预计年收益5.7万元；按照村集体经济收益分配方案，75%资金用于分红，10%资金用于村内公益性岗位开发补助，10%资金用于发展壮大再生产,5%资金用于风险基金。预计有农户4479户12162人受益，其中脱贫户196户419人。</t>
  </si>
  <si>
    <t>2024年府谷镇柳林碛村经济联合社气调库建设项目</t>
  </si>
  <si>
    <t>建设长10、宽6、高4米的外包彩钢气调库两间。冷冻机组12匹2个，气调设备1套。</t>
  </si>
  <si>
    <t>项目建成后资产归柳林碛村经济联合社，受益群众356户962人，其中受益脱贫户12户18人，可以保障葡萄水果及大棚内农产品的新鲜不变质。</t>
  </si>
  <si>
    <t>2024年度孤山镇沙坬村经济联合社粮食仓储及烘干项目</t>
  </si>
  <si>
    <t>新建5HL-120T连续式粮食烘干塔，日烘干玉米等粮食120吨。同时建设仓储600吨以上的粮食仓储库，并配套玉米脱粒机、玉米筛选机等设备。</t>
  </si>
  <si>
    <t>项目建设后产权归村集体所有，由村集体经济联合社进行经营管理。粮食存储难题得到解决，能够帮助群众自主选择销售粮食时机，增加群众粮食销售收入，带动全村425户11450人（其中脱贫户12户25人，监测户2户6人）增收。收益60%用于村民红利，40%用于村集体经济发展资金。</t>
  </si>
  <si>
    <t>2024年强化农村基层党组织政治功能和组织功能，扶持发展新型农村集体经济项目</t>
  </si>
  <si>
    <t>遴选全县未享受过中央扶持发展新型农村集体经济项目支持的府谷镇尖圪垯村等10个一般村和麻镇便民服务中心埝墕村等10个脱贫村，共计20个村发展惠益民城乡冷链物流园项目。按照一般村70万元/村、脱贫村100万元/村进行。该项目主要以仓储、冷链、物流、农产品销售为主营业务，占地长87米，宽57米，面积4959平方米，总高度13.3m，建筑总面积12305平方米.单体为单层钢结构建筑，冷间设计温度为-18℃，贮藏品种为冻结后的水产品、肉类、肉类副产品、乳制品及冰激凌等，采用托盘直接堆码存储，总计可存储约5000吨货物，每日最大总进货量约为250 吨（按该库容量的5%计算），进货温度不高于-8℃，出货温度为-18℃，冷间内蒸发器采用 CO2吊顶式冷风机，冷风机配置均匀织物送风道；设置 10℃封闭控温穿堂及站台，蒸发器采用乙二醇吊顶式冷风机。同时有效利用屋顶及空地可利用面积4.9万平米，建设5000KWP光伏发电项目，利用光伏发电缓冲园区用电，降低生产经营成本，增加总体收益。</t>
  </si>
  <si>
    <t>采取“联合抱团、集中投入、村企联营、村户联结”机制，按照“村集体经济组织+县属国有企业”模式，与县属国有企业府谷县惠泉水务有限责任公司合作，建设惠益民城乡冷链物流园项目。物流园产权归府谷县惠泉水务有限责任公司（国有企业），村集体经济组织投入资金，不参与管理；惠泉水务公司负责全面运营，并独立记账；每村每年按照不低于村集体经济组织投入资金的6%固定收益，一般村年收益4.2万，脱贫村年收益6万元，带动村集体增收致富。受益8225户21797人，其中脱贫户（含监测户）408户810人。协议期限暂定为5年，协议到期后再行商议资金用途，村集体经济组织有适合项目经四部门审核后将合作资金拨付村集体经济组织实施。无合适项目可与惠泉水务公司再行签订合作协议。</t>
  </si>
  <si>
    <t>府谷县惠泉水务有限责任公司</t>
  </si>
  <si>
    <t>2024年度庙沟门镇庙沟门村集体联合社农产品物流服务产业园三期工程建设项目</t>
  </si>
  <si>
    <r>
      <rPr>
        <sz val="14"/>
        <rFont val="仿宋"/>
        <charset val="134"/>
      </rPr>
      <t>计划新建30间仓储库房（24.5㎡/间），新建1座100m</t>
    </r>
    <r>
      <rPr>
        <sz val="14"/>
        <rFont val="宋体"/>
        <charset val="134"/>
      </rPr>
      <t>³</t>
    </r>
    <r>
      <rPr>
        <sz val="14"/>
        <rFont val="仿宋"/>
        <charset val="134"/>
      </rPr>
      <t>钢化玻璃化粪池。</t>
    </r>
  </si>
  <si>
    <t>该项目产权归集体所有，项目建成完善后，年多增加收入15万元，预计带动565户1738人受益，其中脱贫户6户6人。</t>
  </si>
  <si>
    <t>2024年木瓜镇联合总社储粮仓库基础配套项目</t>
  </si>
  <si>
    <t>购置固定式输送机14.5米两台，移动式输送机12米一台，地勘6孔，钢板仓基础，围栏及储粮配电等。</t>
  </si>
  <si>
    <t>尧坬坡村</t>
  </si>
  <si>
    <t>该项目属于木瓜镇万亩有机糜谷基地仓储配套设施，产权归集体联合总社所有，项目建成后，按照不低于6%的收益，预计年收益3.6万元；按照村集体经济收益分配方案，75%资金用于分红，10%资金用于村内公益性岗位开发补助，10%资金用于发展壮大再生产,5%资金用于风险基金。预计有农户4479户12162人受益，其中脱贫户196户419人。</t>
  </si>
  <si>
    <t>2024年麻镇便民服务中心前尧湾薯类储存窖提升工程</t>
  </si>
  <si>
    <t>窖顶搭建保温板640平米，6米6*6方钢15根，6米3*4方钢130根。</t>
  </si>
  <si>
    <t>该项目产权归前尧湾村集体所有，提升后可有效提高保温效果，确保窖内储存菜薯安全过冬，有效提高集体经济收益。受益农户380户1020人，脱贫户18户31人其中监测户1户1人。</t>
  </si>
  <si>
    <t>2024年度哈镇陈家圪堵村村集体经济合作社黄油加工厂厂房提升改造项目</t>
  </si>
  <si>
    <t>为陈家圪堵村村集体经济合作社黄油加工厂新购置11KW榨油机1台、1.1KW水化机1台、2.2KW离心机1台、1.1KW生料提升机1台、陶瓷澄清罐15个；加工厂加装窗帘7块、窗栅13个；打造加工厂产品展示柜并对展厅进行装潢；建设72平方米成品油储藏间。</t>
  </si>
  <si>
    <t>该项目产权归村集体所有，项目建成后，预计实现村集体年增收1万元，受益农户512户1270人，其中脱贫户34户70人，监测户1户1人。带动劳动力就近就业增收，户均增收1000元/年。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</si>
  <si>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2024年度黄甫镇村集体经济联合总社1.5万吨生物质颗粒燃料配套项目</t>
  </si>
  <si>
    <t>建设粉碎细料车间棚140平米及破碎车间遮雨棚40平米、建设两室隔离操作间2个三室隔离操作间1个及操作台安装、监控设备购置及安装。厂房配套电力设备，低压开关柜1台，低压电容器柜1台，柱上断路器1套。设备安装及其他附属设施完善工程。</t>
  </si>
  <si>
    <t>该项目产权归村集体经济联合总社所有，关联八个村级集体经济联合社。项目建成后降低农户闲置自育苗木处置成本，提高资源利用率，受益农户4397户10931人，包括脱贫户、监测户113户179人。</t>
  </si>
  <si>
    <t>2024年度麻镇便民服务中心刘家坪村集体合作社板式家具加工厂项目</t>
  </si>
  <si>
    <t>厂房占地600平米采用混凝土浇灌硬化，搭建全封闭彩钢厂房500平米，购置3吨叉车1辆、2409NL开料机1台、668JG封边机1台、90精密锯1台、15千瓦螺杆泵1套、20千瓦配电箱5个、4*16防水线200米、668JL开孔机1台、312UJ开孔器1台、60J排风机6台、2*6其他线路300米、100KM变压器1台。</t>
  </si>
  <si>
    <t>该项目产权归村集体所有，解决村内林木闲置及废弃问题，带动刘家坪村集体合作社年增收6万元，带动453户1121人经济稳定增收，带动15户脱贫户及2户监测户年增收1000元，新增村级公益性岗位3个，收益分配以分红及以工代赈方式不低于收益的26%进行分配。</t>
  </si>
  <si>
    <t>2024年度麻镇便民服务中心埝墕村集体经济合作社产业提升改造项目</t>
  </si>
  <si>
    <t>对原有的蔬菜大棚、粮油加工厂、海红果加工厂、养鸡场产业进行提升改造，蔬菜大棚：对蔬菜大棚400米上下水管道更换、抽水泵站设施一套；粮油加工厂：使用300平米钢架结构对院子进行封闭建设、屋顶维修改造、加装供暖设备1套、列装工作台1台、备选机1台、封口机1台、20吨地磅1台等；海红果加工厂：类冻库、保鲜库四周屋顶加盖彩钢棚250平米；养鸡场：粪池加盖150平米彩钢顶、院内加盖48平米鸡舍凉棚1座、加装空气能取暖设备1台。</t>
  </si>
  <si>
    <t>该项目产权归村集体所有，提升改造埝墕村集体经济合作社集体产业项目，带动产业发展，年增收5万元，受益341户875人，其中脱贫户36户89人，收益分配以分红及以工代赈方式不低于收益的26%进行分配。</t>
  </si>
  <si>
    <t>2024年度碛塄农业园区碛塄村生物质颗粒建设项目</t>
  </si>
  <si>
    <t>项目占地5亩，场地及新建厂房800平米，硬化厂区及道路1500平米，安装400千伏安变压器和150千伏安变压器各一台及配套配电设备，购置生物质颗粒生产线一条，购置30装载机1台，叉车1台，其他配套附属工程。</t>
  </si>
  <si>
    <t>产权集体所有，项目建成后，将极大带动我村集体经济，提高群众收入，受益群众443户1123人，其中脱贫户10户19人，预计收入30万元，提取10%为公积公益金，40%用于后续企业发展，股东红利分配按照50%。</t>
  </si>
  <si>
    <t>2024年度碛塄农业园区郝家寨村红枣加工厂红枣产品包装设备采购项目</t>
  </si>
  <si>
    <t>为郝家寨村集体红枣加工厂配套真空包装机1套，封口机1台，封盖机2台，电子秤3台，塑料自封口机2台，红枣放置架10个，烤盘1500个，鼓风机2台，地坪漆300平米。</t>
  </si>
  <si>
    <t>产权归村集体所有。带动村集体红枣加工厂，增加集体收益。受益户403户1036人，其中脱贫户13户23人。</t>
  </si>
  <si>
    <t>2024年墙头农业园区冯家会村合作社白菜腌制加工厂项目</t>
  </si>
  <si>
    <t>新建冯家会村白菜腌制加工厂一座，占地面积3000平米，厂房占地约350平方米，配套复卷机、切纸机、封口机、空气压缩机，建设白菜腌制池4座、发酵池4座等配套设施。</t>
  </si>
  <si>
    <t>产权归冯家会村集体经济合作社，建成后可年产20万公斤酸菜，预计年收入可达40万元。不仅解决了白菜销量路问题，也提高了村民家庭收益。在确保产业项目持续发展的前提下，收益的70%用于产业扶持产业后续发展，30%用于集体经济合作社分红。带动全园区1828户4933人，其中脱贫户90户216人，监测户10户20人，增加收入，稳固脱贫成果。</t>
  </si>
  <si>
    <t>2024年新民镇新民村集体经济联合社扫帚加工厂建设项目</t>
  </si>
  <si>
    <t>计划建设年产10000把竹基扫帚厂，整修村内集体闲置房屋4间，共计500平米，并购置竹基捆扎机器1台，切割机1台，扫把头尾合成机器1台。</t>
  </si>
  <si>
    <t>该项目产权归新民村集体经济联合社所有，在盘活村内闲置厂房的同时，带动联合社年增收2万元。受益农户473户1394人，其中脱贫户7户10人，监测户1户4人。预计带动就业5人，联合社收益的30%用于分红，30%用于经营运转，40%用于提取公益公积金。</t>
  </si>
  <si>
    <t>2024年新民镇打井塔村集体经济联合社手套加工厂建设项目</t>
  </si>
  <si>
    <t>计划建设年产30万双劳保手套厂，维修改造村集体闲置房屋300平米，购置手套生产线15条，购买原材料尼龙及成品存储货架2个，厂内老化电线整改。</t>
  </si>
  <si>
    <t>打井塔村</t>
  </si>
  <si>
    <t>该项目由村联合社自主经营，产权归打井塔村集体经济联合社所有，在盘活村内闲置房屋的同时，带动联合社年增收5万元。受益农户450户1280人，其中脱贫户6户12人。预计带动就业4人，联合社收益的30%用于分红，30%用于经营运转，40%用于提取公益公积金。</t>
  </si>
  <si>
    <t>2024年三道沟镇新庙村特色农产品加工厂建设项目</t>
  </si>
  <si>
    <t>在新庙村建设特色农产品加工厂，包括：1.维修改造房屋150㎡；2.购买加工设备：28型荞麦脱壳机4KW 一台、荞麦米壳分离筛1.5KW一台、40全自动磨粉机一台、280碾米机7.5KW一台、100A石磨磨面机、配电柜等设施。</t>
  </si>
  <si>
    <t>该项目建成后产权归村集体所有，按照不低于6%的收益，预计年收益1.8万元。按照村集体经济收益分配方案，75%资金用于分红，10%资金用于村内公益性岗位开发补助，10%资金用于发展壮大再生产,5%资金用于风险基金。预计有农户503户1419人受益，其中：脱贫户4户8人、监测户1户3人。</t>
  </si>
  <si>
    <t>2024年府谷镇河塔村经济联合社山野菜加工厂旧厂房维修改造</t>
  </si>
  <si>
    <t>改造东山800平米的旧厂房（维修房顶漏水，门窗更换，供暖，水，电加装），预计35万。山野菜设备20万（气泡清洗机、漂烫杀青机、气泡冷却机、振动沥水机、翻转风干机各1台），肉类烘烤设备5万</t>
  </si>
  <si>
    <t>建成后资产属于河塔村经济联合社，增加村集体经济收入20万元，受益农户318户815人，受益脱贫户11户23人。收益30%提取公积金，70%用于分红。</t>
  </si>
  <si>
    <t>2024年府谷镇西山村经济联合社食用油加工项目</t>
  </si>
  <si>
    <t>1.维修改造厂房1500㎡、屋顶处理彩钢瓦600㎡及院落维修，2.购置榨油设备（脱壳机，粉粹机，炒料机，榨油机，炼油机等设备）、储油设备及配套设备。</t>
  </si>
  <si>
    <t>建成后资产归西山村经济联合社，受益脱贫户13户22人，受益农户342户969人，可以增加村集体经济收入5万元，其中50%提取公积金，50%用于分红</t>
  </si>
  <si>
    <t>2024年哈镇大岔村村集体经济海红果加工厂配套项目</t>
  </si>
  <si>
    <t>为大岔村村集体经济海红果加工厂配套建设截潜流井一座，潜流井直径6米，深20米，潜流长100米；配套管外径59.8MM、2寸的镀锌钢管200米，1000W水泵一个。</t>
  </si>
  <si>
    <t>大岔村</t>
  </si>
  <si>
    <t>该项目产权归村集体所有，项目建成后，能够解决海红果加工厂的生产用水需求，进而提高海红果果脯等产品产量，预计可带动村集体经济年增收8万元，受益农户512户1270人，其中脱贫户34户70人，监测户1户1人。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</si>
  <si>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2024年府谷镇西山村经济联合社饲料综合利用加工项目</t>
  </si>
  <si>
    <t>建设牛饲料酒槽生产车间，新建生发酵车间200平米，饲料加工车间400平米，配套储酒罐20个，蒸馏设备1套，饲料粉碎机560型1台，饲料颗粒机400型饲料搅拌机5立方1台，饲料颗粒机400型，饲料包装机1台，改造旧房460平米用于仓库、实验室等相关设施。</t>
  </si>
  <si>
    <t>建成后资产归西山村经济联合社，受益脱贫户13户22人，受益农户342户969人，后期出租经营，与养牛场签订长期租赁合同搭配运营，酒槽饲料综合利用，每年可收益3万，其中50%提取公积金，50%用于分红。</t>
  </si>
  <si>
    <t>2024年大昌汗镇石籽焉村经济联合社物流服务中心</t>
  </si>
  <si>
    <t>在石籽焉村新建物流服务中心，总面积33亩，包括：农特产品展销、煤炭信息服务、停车服务、汽车修理服务、司机之家等，其中平整土地20000平方米，场地铺设砂石19500平方米，混凝土结构房屋12间设施房屋（25平米/间）；新建砖混网围栏约1000米，供暖、消防设施，给排水设施，监控等附属设施。</t>
  </si>
  <si>
    <t>石籽焉村</t>
  </si>
  <si>
    <t>该项目产权归石籽焉村经济联合社所有，石籽焉经济联合社负责项目全面运营石岩塔村经济联合社不参与项目管理运营。石岩塔经济联合社资金入股50万，合作期限为20年，协议到期后再行商议资金用途，石岩塔村经济联合社可继续投资此项目，也可退还资金自行组织实施合适项目。项目建成后，预计年收益达15万元。所得收益32%用于支付土地租金，石岩塔村经济联合社固定分红3万元，其余收益按照石籽焉村集体经济收益分配方案分配。预计受益农户979户2917人（石籽焉石岩塔两村），其中脱贫户23户26人。</t>
  </si>
  <si>
    <t>示范村项目（内含石籽焉、石岩塔巩固提升资金各50万元，共计100万元）</t>
  </si>
  <si>
    <t>2024年大昌汗镇刘三石岩经济联合社物流服务中心</t>
  </si>
  <si>
    <t>在刘三石岩村虎石畔自然村新建一处10亩的农特产品物流服务基地，包括：农特产品展销、煤炭信息服务、停车服务、汽车修理服务、司机之家等。其中混凝土结构房屋7间，房屋总面积350平米；新建砖混网围栏700米、院落混凝土硬化1500平米、铺设石籽5500平米，供暖、消防设施，给排水设施，监控等附属设施。</t>
  </si>
  <si>
    <t>刘三石岩村</t>
  </si>
  <si>
    <t>该项目产权归刘三石岩村经济联合社所有，项目建成后将满足周边2个大型煤矿，4个洗煤厂货运车辆的往来服务以及周边农特产品的仓储服务。预计年收益达8万元；按照村集体经济收益分配方案分配收益：5%资金用于脱贫户、三类户带贫益贫资金，40%资金用于股民分红，25%资金用于村级组织运转经费和发展公益事业，预计集体经济年收益?万元.30%资金用于发展壮大再生产。预计有农户336户965人受益，其中脱贫户9户10人。</t>
  </si>
  <si>
    <t>2024年度古城镇经济联合总社沙尖组物流服务产业园项目</t>
  </si>
  <si>
    <t>在古城村沙尖组新建物流服务基地，总占地面积约1.6万平米，包括：公共服务、农特产品展销、仓储物流服务、停车服务及其附属设施。其中：公共服务房屋共计10间，采用成品水泥房，单个尺寸为3.5m*7m，房屋总面积245平米；新建砖混网围栏535米、院落石籽垫层1.5万平米，等附属实施。</t>
  </si>
  <si>
    <t>1.该项目产权归集体所有；2.项目建成后规范货运车辆停放有助于改善古城镇纳榆线沿线环境，改善人居环境，提高群众满意度；3.项目正常运行后可解决就业岗位3个；4.预计年收益达19.5万元，其中收益的5%用于脱贫户、三类户带贫益贫，50%资金用于股民分红，10%资金用于镇内公益性岗位开发补助，35%资金用于发展壮大再生产。5.该项目关联7个行政村总受益群众3954户9865人受益，其中脱贫户110户157人。</t>
  </si>
  <si>
    <t>2024年度古城镇经济联合总社古城组物流服务产业园项目</t>
  </si>
  <si>
    <t>在古城村古城组新建物流服务基地，总占地面积约1.6万平米，包括：公共服务、农特产品展销、仓储物流服务、停车服务及其附属设施。其中：公共服务房屋共计10间，采用成品水泥房，单个尺寸为3.5m*7m，房屋总面积245平米；新建砖混网围栏381米、院落石籽垫层1.5万平米。</t>
  </si>
  <si>
    <t>1.该项目产权归集体所有；2.项目建成后规范货运车辆停放有助于改善古城镇纳榆线沿线环境，改善人居环境，提高群众满意度；3.项目正常运行后可解决就业岗位3个；4.预计年收益达18.5万元，其中收益的5%用于脱贫户、三类户带贫益贫，50%资金用于股民分红，10%资金用于镇内公益性岗位开发补助，35%资金用于发展壮大再生产；5.该项目关联7个行政村总受益群众3954户9865人受益，其中脱贫户110户157人。</t>
  </si>
  <si>
    <t>2024年清水镇赵寨村经济联合社物流产业园建设项目</t>
  </si>
  <si>
    <t>在赵寨村川底组新建物流产业园，工程内容主要为挖硬土52120方并回填，场面碎石子硬化（132米*115米）、厚40公分（砂砾垫层20公分、碎石子20公分），场地内排水边沟130米，并配长230米、高1.5米围栏，购置10间成品水泥房，共计225平米，配套300米低压电缆线与变压器连接，附配电柜1套，挖沟槽接水，需要长550米DN65镀锌管，停车场出口水泥硬化（55米*7.5米），厚60公分（砂砾垫层20公分、水稳层20公分、混凝土20公分），配套门口起降系统及单悬臂式标志牌2个。</t>
  </si>
  <si>
    <t>赵寨村</t>
  </si>
  <si>
    <t>产权为村集体所有，项目建成后预计每年收益20万元，川底组、温家峁组占比50%，剩余由赵寨村经济联合社分配，受益人数585户1596人（脱贫户及监测户17户32人）</t>
  </si>
  <si>
    <t>2024年三道沟镇经济联合总社农特产品物流服务基地附属设施建设项目</t>
  </si>
  <si>
    <t>在阳湾村农特产品物流服务基地配套附属设施，包括：安装太阳能路灯20盏。</t>
  </si>
  <si>
    <t>该项目建成后产权归镇集体经济联合总社所有，实施后方便群众出行。预计有农户3021户8191人受益，其中：脱贫户56户127人，监测户3户10人。</t>
  </si>
  <si>
    <t>2024年度庙沟门镇特色农产品展示销售平台项目</t>
  </si>
  <si>
    <t>利用沙梁村现有的闲置办公场所，装修30平米农特产品展示区，60平米直播间，采购直播设备2套，打造运行及维护电子商务平台。</t>
  </si>
  <si>
    <t>该项目产权归集体所有。利用农特产品展示和直播平台宣传乡村土特产、地理标志产品等特色农产品，促进农产品销售，增加农民收入；展示沙梁村乡村旅游资源，吸引更多游客，带动乡村旅游产业发展；加强村级信息交流与共享，推动乡村社会治理现代化,助力乡村全面振兴。拓宽村民（脱贫户）增收渠道，带动329户978人脱贫户9户13人（含监测户1户4人）增收。</t>
  </si>
  <si>
    <t>2024年度黄甫镇段寨村直播平台建设项目</t>
  </si>
  <si>
    <t>利用段寨村现有办公场所，建设40平米直播间，采购直播设备1套，打造运行及维护电子商务平台。</t>
  </si>
  <si>
    <t>该项目建成后产权归段寨村，由段寨村负责后期管护和运营。利用直播平台宣传乡村土特产、地理标志产品等特色农产品，促进农产品销售，增加农民收入；展示本土乡村旅游资源，吸引更多游客，带动乡村旅游产业发展；加强村级信息交流与共享，推动乡村社会治理现代化,助力乡村全面振兴。受益农户444户1088人，其中脱贫户8户12人，监测户4户9人（包括脱贫户1户1人）。</t>
  </si>
  <si>
    <t>2024年度碛塄农业园区郝家寨村折家河至郝家寨灌溉水渠维修项目</t>
  </si>
  <si>
    <t>折家河至郝家寨灌溉U型渠损毁8处长600米。</t>
  </si>
  <si>
    <t>产权归村集体所有。项目建成后，可以灌溉郝家寨村500亩水地，提高红枣产量。受益户403户1036人，其中脱贫户13户23人。</t>
  </si>
  <si>
    <t>2024年度碛塄农业园区郝家寨村灌溉水井建设项目</t>
  </si>
  <si>
    <t>郝家寨自然村蓄水湾打深井1眼，直径1.2米，深150米，此项目建成后能解决500亩土地抗旱灌溉问题。需配套抽水管道200米，联轴水泵20KW1台，架设三项高压线200米。</t>
  </si>
  <si>
    <t>产权归村集体所有。此项目建成后能解决500亩土地抗旱灌溉问题。受益户403户976人，其中脱贫户13户23人。</t>
  </si>
  <si>
    <t>2024年碛塄农业园区碛塄村灌溉水池建设项目</t>
  </si>
  <si>
    <t>石堡自然村新建高位蓄水池长10米，高4.5米，宽4.5米，寸半水管1000米，包括闸阀、检查机、水泵等设施。</t>
  </si>
  <si>
    <t>产权归集体所有，完善基础设施，方便生产生活。受益群众443户1123人，其中脱贫户8户14人。</t>
  </si>
  <si>
    <t>2024年度老高川镇老高川村经济联合社集雨灌溉项目</t>
  </si>
  <si>
    <t>铺设软体集雨设备5000平方米，建设1000立方米集雨池一座，配套输水管网1000米。</t>
  </si>
  <si>
    <t>该项目产权归村集体所有，项目建成后，能够有效解决村民土地缺水灌溉问题，提高粮食产量≥10%，全村受益63户214人，其中脱贫户2户5人。</t>
  </si>
  <si>
    <t>府谷县哈镇硬路塔村智能水肥一体化滴灌项目</t>
  </si>
  <si>
    <t>实施智能水肥一体化项目800亩，配套抽水泵、地下管网、主管道、滴灌带、水肥一体设施和电力等配套设施。计划种植玉米800亩。</t>
  </si>
  <si>
    <t>项目建成后产权归村集体所有，大力提升用水效率，精准施肥、增加作物产量，受益农户712户1763人，其中脱贫户35户71人，亩均增收300元。</t>
  </si>
  <si>
    <t>2024年府谷县设施大棚生产基地农药残留检测项目</t>
  </si>
  <si>
    <t>１.对全县巩衔项目已建成运营设施大棚和双模拱棚生产基地农药残留进行全面抽检；　　　　　　　　　　　　　　　２.2024年全年计划抽检设施大棚和双模拱棚生产基地农药残留采样检测3000例；　　　　　　　　　　　　　　　３.2024年全年计划发放全县设施大棚和双模拱棚生产基地生产记录登记表200册，张贴农药使用规范章程300张。</t>
  </si>
  <si>
    <t>各镇、农业园区、便民服务中心</t>
  </si>
  <si>
    <t>１.对全县已建成运营设施大棚和双模拱棚生产基地农药残留进行全面采样抽检；　　　　　　　　　　　　　　　　２.对全县已建成运营设施大棚和双模拱棚生产基地农产品投入品使用情况进行全面监管；　　　　　　　　　　　　　３.规范全县设施大棚和双模拱棚生产基地生产记录登记，宣传规范农产品投入品使用情况４.全面提高府谷县设施大棚和双模拱棚种植安全生产，保障农产品源头生产和源头治理。</t>
  </si>
  <si>
    <t>2024年度孤山镇沙坬村经济联合社农机购置项目</t>
  </si>
  <si>
    <t>沙坬村共计能够实施机械化种植土地4000余亩，2023年度已实施4000亩旱作农业集成项目，现联合社购买4Y2X-3M(G4)自走式玉米收获机1台、4Q2-2100型自走式青饲料收获机1台。</t>
  </si>
  <si>
    <t>农机购置后归村集体所有，发展现代化机械农业，解放劳动力，增加群众收入，带动全村425户1150人发展高效农业，其中脱贫户12户25人，监测户2户6人。收益60%用于村民红利，40%用于村集体经济发展资金。</t>
  </si>
  <si>
    <t>2024年府谷镇王家畔村经济联合社农机项目</t>
  </si>
  <si>
    <t>购买农机各1台：东风1204拖拉机、大华2.3米加重旋耕机带犁、大华4腿气吸式精播机、 履带式收割机、正嘉撒肥车、秸秆打捆机，东风704小拖拉机，大华1.6米加重小旋耕机。</t>
  </si>
  <si>
    <t>建成后在资产归属王家畔村经济联合社，农机项目收益提取公积金20%，80%用于分红，受益户302户825人，受益脱贫户22户39人</t>
  </si>
  <si>
    <t>2024年度哈镇经济联合总社农机专业合作社项目</t>
  </si>
  <si>
    <t>购置沃德-WD1204型拖拉机一台，开元刀神1GKN-230旋耕机一台,仁达牌4YZX-3M玉米收割机一台，河北锐视1LFK-230液压翻转梨一台，ZBYF-40型玉米施肥播种机1台，七行杂粮割台（4LZ-7CD)一台，沃德牌4LZ-6.2MEQ谷物联合收割机1台，1204拖拉机2台。</t>
  </si>
  <si>
    <t>哈镇村等</t>
  </si>
  <si>
    <t>该项目产权归村集体联合总社所有，该项目产权归村集体联合总社所有，项目建成后，预计为农民节省耕作成本（刨、种收环节）10万余元，同时提高农民种粮积极性，为村集体增收5万元，带动4282户10678名群众增收，其中脱贫户及监测对象352户702人。按照村集体经济收益分配方案，收益10%用于提取公益金，10%用于提取公积金，5%用于提取风险基金，75%用于股东红利分配。村集体经济收益分配为：10%作为项目可持续发展资金，剩余的90%作为人口股、土地股、集体股、脱贫户优先股的利润分红，其中收益的5%优先分配于以土地入股的村民，2%作为脱贫户和监测户优先股，剩余按人头股进行分红。</t>
  </si>
  <si>
    <t>2024年田家寨镇经济联合总社农机具合作社项目</t>
  </si>
  <si>
    <t>硬化长100m宽7.5米停机坪，新建高4.5m单板彩钢顶，小计22.7万元；购置3台久保田954农用拖拉机，66万元；沃德160马力履带式收割机20万元；华德秸秆方孔机14万；雷旺谷神玉米四行收割机38万；农哈哈四行玉米播种机3台，7.5万元；农哈哈撒肥机3万；福田4.2米粮食清运车14万，小计162.5万元。以上合计185.2万元。</t>
  </si>
  <si>
    <t>项目建成后产权属于田家寨镇经济联合总社，经营模式由分散式转化为规模化经营，由镇经济联合总社统一经营管理。预计增加收入11.1万元/年，在确保产业项目持续发展的前提下，其中70%用于产业扶持产业后续发展，30%用于集体经济联合社分红。带动全镇3842户10430人农户，其中脱贫户（监测户）294户640人，充分吸纳村内剩余贫困劳动力务工约20人，带动工资性收入30余万，巩固脱贫成果，进一步壮大集体经济。</t>
  </si>
  <si>
    <t>2024年柳林碛村经济联合社产业园配套农机具项目</t>
  </si>
  <si>
    <t>购买农机兴平云华牌自走式全自动打药机（3WG-62T），山东大华2米旋耕机，履带拖拉机，葡萄埋藤机，1.8米开沟机，3方的三轮撒粪车(山东正嘉)。</t>
  </si>
  <si>
    <t>项目建成后所有权为柳林碛村经济联合社，受益农户354户962人，受益脱贫户12户18人，便于对大棚产业、葡萄园产业、果树产业进行管护，可带动8人就近就业，通过向周边村租赁农机具，可带动增加收入3万余元，项目收益30%提取公积金，70%用于分红。</t>
  </si>
  <si>
    <t>2024年府谷镇刘家沟村经济联合社农机项目</t>
  </si>
  <si>
    <t>为村集体经济联合社购置鲁中504拖拉机、圣和160旋耕机、锐仕1LFK-225翻转犁、振华2BYZF-4玉米播种机各一台。</t>
  </si>
  <si>
    <t>项目建成后资产归刘家沟村经济联合社、受益农户317户831人、受益脱贫户及监测户16户25人，该项目可以缩短农作物种植收割时间20%，可以增加村集体经济收入2万元，收益30%提取公积金，70%用于分红。</t>
  </si>
  <si>
    <t>2024年新民镇新民村集体经济联合社农机具购置项目</t>
  </si>
  <si>
    <t>购置大拖拉机一台，旋耕机一台，玉米播种机一台，液压翻转犁一台，洒粪机一台。</t>
  </si>
  <si>
    <t>该项目产权归新民村集体经济联合社所有，发展壮大村集体经济，项目建成后，共受益农户473户1394人，其中脱贫户7户10人，监测户1户4人。预计联合社年收入5万元左右，带动就业人数2人。联合社收益30%用于提取公益公积金，70%用于分红。</t>
  </si>
  <si>
    <t>2024年小额信贷贴息项目</t>
  </si>
  <si>
    <t>落实小额信贷政策，为享受小额信贷的脱贫户和监测户提供贴息。计划贴息300户。</t>
  </si>
  <si>
    <t>各有关村</t>
  </si>
  <si>
    <t>加强小额信贷政策宣传，计划为300户脱贫户和监测户发展产业提供小额贷款贴息，确保发展产业的资金来源有保障。受益300户800人，全部为脱贫户。</t>
  </si>
  <si>
    <t>乡村振兴局</t>
  </si>
  <si>
    <t>2024年互助资金占用费补贴项目</t>
  </si>
  <si>
    <t>落实互助资金政策，计划为192户脱贫户和监测户借用互助资金发展产业提供占用费补贴。</t>
  </si>
  <si>
    <t>加强小额信贷政策宣传，计划为192户脱贫户和监测户发展产业提供互助资金占用费补贴，确保发展产业的资金来源有保障。受益192户536人，全部为脱贫户、监测户。</t>
  </si>
  <si>
    <t>2024年度跨县就业交通补助项目</t>
  </si>
  <si>
    <t>对跨县就业的脱贫劳动力（含监测帮扶对象）持有效务工证明，安排一次性交通补助500元/人/年。</t>
  </si>
  <si>
    <t>鼓励脱贫劳动力（含监测帮扶对象）外出务工增收，减少务工交通费用支出，预计受益200户200人，全部为脱贫户和监测户。</t>
  </si>
  <si>
    <t>2024年度一次性求职补贴项目</t>
  </si>
  <si>
    <t>对实现就业的脱贫劳动力（含监测帮扶对象）持与用人单位期限不低于1年的劳动合同、就业协议或务工就业证明，安排一次性求职补贴500元/人/年。</t>
  </si>
  <si>
    <t>为当年新就业的脱贫劳动力（含监测帮扶对象）发放补贴，鼓励劳动力外出就业致富，稳定务工增收，预计受益40户40人，全部为脱贫户和监测户。</t>
  </si>
  <si>
    <t>人社局</t>
  </si>
  <si>
    <t>2024年度职业技能培训补贴项目</t>
  </si>
  <si>
    <t>脱贫劳动力参加职业技能培训，培训合格后，按出勤天数，给予培训补贴，每人每天生活费不超20元，交通费不超30元，每人每期累计不超2500元，每人每年只能享受一次。</t>
  </si>
  <si>
    <t>为参加培训的50名脱贫劳动力发放培训补贴，鼓励掌握劳动技能，提高务工就业能力，增加务工收入，预计受益户50户50人，全部为脱贫户和监测户。</t>
  </si>
  <si>
    <t>2024年度脱贫村创业致富带头人创业培训项目</t>
  </si>
  <si>
    <t>计划对44名脱贫村创业致富带头人主要从中、长期产业发展入手，以种、养、加技能以及电商等方面进行培训。</t>
  </si>
  <si>
    <t>哈镇等10个镇</t>
  </si>
  <si>
    <t>硬路塔等12个脱贫村</t>
  </si>
  <si>
    <t>提升全县44名致富带头人产业发展技能、产业带动能力，带动脱贫人口发展产业增收。受益296户572人，全部为脱贫户。</t>
  </si>
  <si>
    <t>2024年度一次性创业补贴项目</t>
  </si>
  <si>
    <t>脱贫劳动力创办的经济实体取得法定证件、依法经营6个月以上的，一次性给予创业补贴5000元。</t>
  </si>
  <si>
    <t>引导脱贫劳动力自主创业带动就业，给予创业初期一次性补贴，降低创业初期风险，预计受益2户2人，全部为脱贫户和监测户。</t>
  </si>
  <si>
    <t>2024年度市级特设公益性岗位补贴项目</t>
  </si>
  <si>
    <t>就近就地开发市级特设公益性岗位，扶持“三无”及就业困难的劳动力就业增收，岗位补贴每人每月600元，年增收7200元。</t>
  </si>
  <si>
    <t>解决无法离乡、无业可扶、无稳定家庭收入的脱贫未就业劳动力就业问题，每人每年增收7200元，预计受益221户221人，全部为脱贫户和监测户。</t>
  </si>
  <si>
    <t>2024年度县级特设公益性岗位补贴项目</t>
  </si>
  <si>
    <t>就近就地开发县级特设公益性岗位，扶持“三无”及就业困难脱贫劳动力和边缘易致贫劳动力等就业增收，岗位补贴每人每月400元,年增收4800元。</t>
  </si>
  <si>
    <t>解决无法离乡、无业可扶、无稳定家庭收入的脱贫未就业劳动力、边缘易致贫劳动力和其他就业困难人员就业问题，每人每年增收4800元，预计受益226户226人，全部为脱贫户和监测户。</t>
  </si>
  <si>
    <t>2024年度府谷县生态护林员项目</t>
  </si>
  <si>
    <t>安排生态护林员岗位14个，计划兑付资金84000元。</t>
  </si>
  <si>
    <t>选聘14名生态护林员管护19354亩，保护公益林面积流失，提升存活率。受益脱贫户14户14人。</t>
  </si>
  <si>
    <t>林业局</t>
  </si>
  <si>
    <t>2024年村庄规划编制项目</t>
  </si>
  <si>
    <t>编制石马川等32个村实用性村庄规划。</t>
  </si>
  <si>
    <t>加强规划引领，重点做好市级示范村等村庄规划编制，推进示范创建与乡村全面振兴。受益25600户66560人，其中脱贫户（含监测对象）500户1300人。</t>
  </si>
  <si>
    <t>自然资源和规划局</t>
  </si>
  <si>
    <t>2024年府谷镇柳林碛村黑山村海红果路砖铺建设项目</t>
  </si>
  <si>
    <t>铺砖60*60米共3600平米
沙砾3600*0.15m共540方
混凝土3600㎡*0.06m共216方。</t>
  </si>
  <si>
    <t>项目建成后所有权为黑山自然村，便于果园采摘，受益农户136户386人，受益脱贫户3户7人。</t>
  </si>
  <si>
    <t>2024年度海则庙便民服务中心海则庙村经济联合社肉牛养殖场产业路</t>
  </si>
  <si>
    <t>在肉牛养殖场新建产业路，道路长1400米，宽2.8米的砖铺路，面积3920平方米。</t>
  </si>
  <si>
    <t>项目建成后，产权归村集体所有，道路铺设砖路，方便种植、养殖出行，受益户数560户1736人，脱贫户38户83人，监测户1户2人。</t>
  </si>
  <si>
    <t>2024年度武家庄镇沈家峁行政村集体经济合作社白绒山羊养殖场产业道路项目</t>
  </si>
  <si>
    <t>通沈家峁村白绒山羊养殖场砖砌产业路0.88公里，宽3米，厚度12cm，配套排水设施1550m。</t>
  </si>
  <si>
    <t>沈家峁村</t>
  </si>
  <si>
    <t>产权归村集体所有，以村联合社羊场带动群众增收，项目实施后将带动全村317户800人，其中脱贫户20户41人增收，预计每年增加村集体经济收入6万元，收益的30%用于提取公积公益金，30%用于壮大集体经济联合社，40%用于村内分红。</t>
  </si>
  <si>
    <t>2024年度孤山镇徐家峁村经济联合社徐家峁第一、二自然村种植基地产业路建设项目</t>
  </si>
  <si>
    <t>现有小杂粮种植基地500亩，需配套新建砖铺产业路长2公里，宽3.5米，厚12厘米。</t>
  </si>
  <si>
    <t>产权归村集体所有。改善现有高标准农田产业道路条件，方便农作物运输，增加村集体经济收入，带动95户246人（其中脱贫户1户4人）发展产业项目。</t>
  </si>
  <si>
    <t>2024年碛塄农业园区王家洼村阳塔河小杂粮种植基地产业路建设项目</t>
  </si>
  <si>
    <t>王家洼行政村阳塔河村大坝230亩玉米种植基地生产道路硬化，长1.1公里，宽3.5米，厚0.12米，砖砌路面，配套混凝土边沟550米。</t>
  </si>
  <si>
    <t>产权归村集体所有，项目建成后，可以改善田兴庄村、阳塔河村村民生活生产条件，可有效减少农民群众耕种出行时间，更有利于农产品运输，受益群众102户288人，其中脱贫户5户9人。</t>
  </si>
  <si>
    <t>2024年度墙头农业园区墙头村瓜菜基地生产道路建设项目</t>
  </si>
  <si>
    <t>新建大邮电门路前到南腰空产业路，建设内容为宽3.5米，长950米砖铺路。</t>
  </si>
  <si>
    <t>墙头村</t>
  </si>
  <si>
    <t>产权归村集体所有，建成后可提升墙头村农副产品外运通行条件，能使全村农户既省力又省时快捷销售农副产品，方便农民生产生活出行。受益户342户790人，其中脱贫户12户28人，监测户1户1人。</t>
  </si>
  <si>
    <t>2024年度武家庄镇白家峁行政村段家洼组村内林果基地产业道路项目</t>
  </si>
  <si>
    <t>段家洼村内砖砌产业路1公里，宽3米，厚度12cm，配套边沟排水设施。</t>
  </si>
  <si>
    <t>白家峁村</t>
  </si>
  <si>
    <t>产权归村集体所有，带动段家洼果园产业发展，完善基础设施建设。受益群众505户1355人，其中脱贫户24户48人，预计增加村集体经济收入1.5万元，收益的30%用于提取公积公益金，30%用于壮大集体经济联合社，40%用于村内分红。</t>
  </si>
  <si>
    <t>2024年度武家庄镇王家墩行政村集体经济联合社种植基地村内产业道路项目</t>
  </si>
  <si>
    <t>砖砌王家墩村内产业路1.5公里，宽3米，厚度12cm，配套边沟及排水设施。</t>
  </si>
  <si>
    <t>王家墩村</t>
  </si>
  <si>
    <t>产权归村集体所有，进一步巩固集体产业，增加林果效益，预计每年增加村集体经济收入1万元，受益群众359户975人，其中脱贫户19户39人，收益的30%用于提取公积公益金，30%用于壮大集体经济联合社，40%用于村内分红。</t>
  </si>
  <si>
    <t>2024年度木瓜镇木瓜村集体经济合作社万亩有机糜谷基地产业路项目</t>
  </si>
  <si>
    <t>铺设孙家沟路至芦梁万亩有机糜谷基地（芦梁段）生产道路650米，宽3.5米，厚0.12米砖铺路，配套混凝土排水300米。</t>
  </si>
  <si>
    <t>该项目产权归集体所有，产业路建设可服务万亩有机糜谷基地（芦梁段）300余亩，利于群众生产生活及集体发展，间接带动村集体收入。受益农户30户78人，其中脱贫户1户3人。</t>
  </si>
  <si>
    <t>2024年木瓜镇前梁村经济联合社大棚产业路建设项目</t>
  </si>
  <si>
    <t>新修通往阳坡村大棚产业路700米，宽3.5米，厚0.12米砖铺路。配套混凝土排水600米。</t>
  </si>
  <si>
    <t>该项目产权归集体联合社所有，可改善大棚生产运输条件，利于群众生产生活及集体产业发展，间接带动村集体收入，受益农户572户1689人，其中脱贫户36户74人。</t>
  </si>
  <si>
    <t>2024年度木瓜镇阳坬村集体经济联合社蔬菜大棚产业路项目</t>
  </si>
  <si>
    <t>新修通往蔬菜大棚产业路200米，宽3.5米，厚0.12米砖铺路，配套混凝土排水渠150米。</t>
  </si>
  <si>
    <t>该项目产权归集体所有，可改善大棚生产道路，便于大棚生产经营，从而提高经济效益，增加村民收入，预计有农户429户1366人受益，其中脱贫户28户63人。</t>
  </si>
  <si>
    <t>2024年度木瓜镇阳坬村集体经济联合社日光大棚产业路项目</t>
  </si>
  <si>
    <t>新修通往日光大棚产业路260米、宽3.5米，厚0.12米砖铺路，配套混凝土排水200米。</t>
  </si>
  <si>
    <t>2024年度木瓜镇尧坬坡村集体经济合作社万亩有机糜谷基地产业路项目</t>
  </si>
  <si>
    <t>铺设双墩路口至双墩上村万亩有机糜谷基地（双墩段）生产道路700米，宽3.5m，厚0.12米砖铺路，配套混凝土排水300米。</t>
  </si>
  <si>
    <t>该项目产权归集体所有，产业路建设可改善村集体生产运输条件，利于群众生产生活及集体发展，间接带动村集体收入。受益农户35户105人，其中脱贫户2户5人。</t>
  </si>
  <si>
    <t>2024年三道沟镇三道沟村集体经济联合社产业路项目</t>
  </si>
  <si>
    <t>在三道沟村新建经济联合社蔬菜大棚、种植基地砖铺产业路项目，长1km、宽2.5m，服务种植450亩、蔬菜大棚8个。</t>
  </si>
  <si>
    <t>该项目建成后产权归村集体所有，方便群众务农和农作物销售。预计有农户545户1475人受益，其中：脱贫户12户28人。</t>
  </si>
  <si>
    <t>2024年度古城镇五道河村双膜拱棚产业路改造提升项目</t>
  </si>
  <si>
    <t>在五道河村新建双膜拱棚基地产业路，及部分场地硬化，产业路约1公里，宽约3.5米，场地合计硬化约2440㎡，共计5940㎡。具体建设内容包含双膜拱棚入场道路、双膜拱棚两侧道路；双膜拱棚到气调保鲜库、仓库等连接道路；以及蔬菜瓜果临时存放点、气调保鲜库和仓库院落硬化；全部采用红砖立铺的形式。</t>
  </si>
  <si>
    <t>项目建成后产权归村集体所有。项目实施后进一步改善51座双膜拱棚生产耕作条件，有效解决双膜拱棚瓜菜运输不便问题，使农民种植更加节省人力物力；间接的带动7个村组437户1036人受益（其中脱贫户和监测户15户19人），施工过程中为在家群众提供就业机会。</t>
  </si>
  <si>
    <t>2024年府谷镇三和村小湾组经济合作社大棚产业路建设项目</t>
  </si>
  <si>
    <t>立扎砖铺村内主道路至双膜拱棚和暖棚产业路330米，宽2.5米。</t>
  </si>
  <si>
    <t>三和村</t>
  </si>
  <si>
    <t>建成后资产属于三和村小湾组，保障大棚内农产品的运输，受益群众48户142人，其中受益脱贫户4户6人。</t>
  </si>
  <si>
    <t>2024年府谷镇温李河村小杂粮种植基地产业道路建设项目</t>
  </si>
  <si>
    <t>新建小杂粮种植基地产业道路两段：1，温里河采摘园到老坟湾3公里 ，2，温李河一村到井湾2公里；道路宽2.5米的，立扎铺砖。</t>
  </si>
  <si>
    <t>建成后资产属于温李河村，收益群众178户600人，可以保障700余亩耕地的粮食运输</t>
  </si>
  <si>
    <t>2024年度庙沟门镇化皮沟村化皮沟组产业道路硬化项目</t>
  </si>
  <si>
    <t>计划在化皮沟行政村化皮沟自然村80亩果园建设生产道路，道路全长2000m，道路宽3m,配制排水等配套设施。</t>
  </si>
  <si>
    <t>产权归村集体所有。有效改善群众出行条件，解决农产品外运难问题，减少农民群众耕种出行时间，完善基础设施，保障交通安全，受益农户83户235人。</t>
  </si>
  <si>
    <t>2024年木瓜镇常塔村油房塔自然村过水路面建设项目</t>
  </si>
  <si>
    <t>新修油房塔河道过水路面40米，宽3.5米，提升通往100余亩杏树、200余亩高标准农田的通行条件。</t>
  </si>
  <si>
    <t>该项目产权归集体所有，该项目实施后，有利于油房塔村民管护100余亩杏树、200余亩高标准农田种植。预计有农户37户103人受益，其中脱贫户3户7人.</t>
  </si>
  <si>
    <t>2024年田家寨镇刘家畔村边圪崂组经济合作社玉米基地生产道路建设项目</t>
  </si>
  <si>
    <t>砖砌生产道路砖铺路长1.8千米，宽3.5米，厚12厘米，下有宽3.5米，厚15厘米砂粒土垫层，1.5公里七字形混泥土边沟排水。</t>
  </si>
  <si>
    <t>刘家畔村</t>
  </si>
  <si>
    <t>项目建成后产权属于刘家畔村边圪崂组，建成后可大力推广现代农业机械耕种收割技术，降低运输成本，减少运输时间约20分钟，提高农业生产种植效率。</t>
  </si>
  <si>
    <t>2024年大昌汗镇新修石岩塔村那孟家沟组缸房塔通户道路</t>
  </si>
  <si>
    <t>新建1.4公里水泥路，路基宽4.5米，路面宽3.5米，混凝土厚18厘米，配套排水设施及生命防护工程。</t>
  </si>
  <si>
    <t>石岩塔村</t>
  </si>
  <si>
    <t>该产权归集体所有，解决那孟家沟村105户302人其中脱贫户5户5人生产生活出行问题。</t>
  </si>
  <si>
    <t>2024年度孤山镇沙坬村阳塔自然村至上杜庄自然村通村路建设项目</t>
  </si>
  <si>
    <t>新建沙坬村阳塔自然村至上杜庄自然村通村水泥路2.2公里，路基宽4.5米，硬化路面宽3.5米，厚18厘米及排水、护栏等附属实施。</t>
  </si>
  <si>
    <t>产权归村集体所有。乡村基础设施建设，改善人居环境，为发展壮大村集体经济打下良好基础，改善提升阳塔、上杜庄两个村98户202人出行条件，其中脱贫户3户5人，监测户1户2人。</t>
  </si>
  <si>
    <t>2024年度黄甫镇黄糜咀村常王寨自然村入户道路硬化项目</t>
  </si>
  <si>
    <t>黄糜咀村常王寨村水泥硬化入户道路长380米、宽3米、厚15CM。</t>
  </si>
  <si>
    <t>黄糜咀村</t>
  </si>
  <si>
    <t>产权归村集体所有。有效改善群众出行条件，完善村内基础设施，方便群众生产、生活，受益农户159户408人，其中脱贫户6户10人、监测户1户2人。</t>
  </si>
  <si>
    <t>2024年度黄甫镇大桃山行政村韩家湾村入户道路硬化项目</t>
  </si>
  <si>
    <t>大桃山村韩家湾村水泥硬化入户道路长600米，宽3米，厚15CM。</t>
  </si>
  <si>
    <t>大桃山村</t>
  </si>
  <si>
    <t>产权归村集体所有。有效改善群众出行条件，完善村内基础设施，方便群众生产、生活，受益农户97户263人，其中脱贫户1户1人。</t>
  </si>
  <si>
    <t>2024年度黄甫镇大桃山村入户道路硬化项目</t>
  </si>
  <si>
    <r>
      <rPr>
        <sz val="14"/>
        <rFont val="仿宋"/>
        <charset val="134"/>
      </rPr>
      <t>大桃山村水泥硬化入户道路</t>
    </r>
    <r>
      <rPr>
        <sz val="14"/>
        <rFont val="仿宋"/>
        <charset val="0"/>
      </rPr>
      <t>1000米，路面宽2米，厚15CM。</t>
    </r>
  </si>
  <si>
    <t>产权归村集体所有。完善村内基础设施，方便群众生产、生活，受益农户53户89人，其中脱贫户4户4人。</t>
  </si>
  <si>
    <t>2024年度黄甫镇红泥寨村下川口自然村道路硬化项目</t>
  </si>
  <si>
    <t>红泥寨村下川口自然村水泥硬化村内道路长740米，路面宽3米，厚15CM。</t>
  </si>
  <si>
    <t>红泥寨村</t>
  </si>
  <si>
    <t>产权归村集体所有。有效改善群众出行条件，完善村内基础设施，方便群众生产、生活，受益农户120户287人，其中脱贫户3户3人。</t>
  </si>
  <si>
    <t>2024年度黄甫镇红泥寨村红泥寨自然村道路硬化项目</t>
  </si>
  <si>
    <t>红泥寨村红泥寨自然村水泥硬化村内道路长1000米，宽3米，厚15CM。</t>
  </si>
  <si>
    <t>产权归村集体所有。有效改善群众出行条件，完善村内基础设施，方便群众生产、生活，受益农户118户295人，其中脱贫户3户7人。</t>
  </si>
  <si>
    <t>2024年黄甫镇山神堂村沙焉组主路至雷家沙焉村口道路砖砌项目</t>
  </si>
  <si>
    <t>砖砌山神堂村沙焉组主路至雷家沙焉村口道路长600米、宽3米，配套排水沟等。</t>
  </si>
  <si>
    <t>山神堂村</t>
  </si>
  <si>
    <t>产权归村集体所有。有效改善群众出行条件，完善村内基础设施，方便群众生产、生活，受益农户15户27人，其中脱贫户1户1人。</t>
  </si>
  <si>
    <t>2024年度黄甫镇魏寨村西梁至旧府准路道路硬化项目</t>
  </si>
  <si>
    <t>水泥硬化魏寨村西梁至旧府准路道路长1.5千米，宽3.5米，厚18CM，配套排水沟等。</t>
  </si>
  <si>
    <t>魏寨村</t>
  </si>
  <si>
    <t>产权归村集体所有。有效改善群众出行条件，解决农产品外运难问题，减少农民群众耕种出行时间，改善人居环境，完善基础设施，保障交通安全，受益农户49户135人，其中脱贫户2户5人。</t>
  </si>
  <si>
    <t>2024年度老高川镇老高川村赵峁梁组道路硬化项目</t>
  </si>
  <si>
    <t>建设西过境线到赵峁梁集中居住区长约280米（穿越过水路面25米）、路基宽4.5米，路面宽3.5米，厚18厘米C30混凝土硬化道路，及配套排水、生命防护栏等附属设施。</t>
  </si>
  <si>
    <t>该项目产权归村集体所有，改善现有出行条件，为村级发展创造条件，带动49户143人发展，其中脱贫户1户1人。</t>
  </si>
  <si>
    <t>2024年度老高川镇李家石畔村硬地墕组至大榆树梁组道路硬化项目</t>
  </si>
  <si>
    <t>新建硬地墕组至大榆树梁组通组长1公里，路基宽4.5米，路面宽3.5米，厚18厘米C30混凝土硬化道路及配套排水、生命防护栏等附属设施。</t>
  </si>
  <si>
    <t>李家石畔村</t>
  </si>
  <si>
    <t>该项目产权归村集体所有，项目建成后，能够保障村内群众出行条件，全村受益108户334人，其中脱贫户6户11人，不断提高其认可度、满意度、幸福感。</t>
  </si>
  <si>
    <t>2024年度老高川镇磁尧村拉玛峰组至下朱太沟组道路硬化项目</t>
  </si>
  <si>
    <t>新建拉玛峰组至下朱太沟组通组长3公里，路基宽4.5米，路面宽3.5米，厚18厘米C30混凝土硬化道路，及配套排水、生命防护栏等附属设施。</t>
  </si>
  <si>
    <t>磁尧村</t>
  </si>
  <si>
    <t>该项目产权归村集体所有，改善现有出行条件，为村级发展创造条件，带动495户1460人发展，其中脱贫户20户37人。</t>
  </si>
  <si>
    <t>2024年碛塄农业园区王家洼村田兴庄组通组路硬化工程</t>
  </si>
  <si>
    <t>王家洼行政村田兴庄至田家沟道路硬化850米，宽3米，厚15cm混凝土路面。配套混凝土边沟。</t>
  </si>
  <si>
    <t>项目建成后，可以改善田兴庄村村民生活生产条件，提升村民幸福感，受益农户65户152人，受益脱贫户4户7人。</t>
  </si>
  <si>
    <t>2024年度碛塄农业园区碛塄村入户道路项目</t>
  </si>
  <si>
    <t>沙角自然村、石堡自然村新建入户水泥道路8千米，宽2.5米，厚度12公分。</t>
  </si>
  <si>
    <t>产权归集体所有，完善基础设施建设，改善群众出行，提升群众满意度。受益群众443户1123人，其中脱贫户10户19人。</t>
  </si>
  <si>
    <t>2024年度木瓜镇前梁村红湾自然村道路硬化项目</t>
  </si>
  <si>
    <t>新建红湾自然村水泥路长2公里，宽3.5米，厚18厘米，配套混凝土排水300米。</t>
  </si>
  <si>
    <t>该项目产权归集体所有，道路建成后有利于发展村集体经济，改善群众出行条件，惠及户数52户149人，其中脱贫户4户7人。</t>
  </si>
  <si>
    <t>2024年度木瓜镇前梁村红崖尧自然村通村道路硬化项目</t>
  </si>
  <si>
    <t>新建红崖尧自然村通村水泥路长1.65公里，宽3.5米，厚18厘米，配套混凝土排水500米。</t>
  </si>
  <si>
    <t>该项目产权归集体所有，道路建成后有利于发展村集体经济，改善群众出行条件，惠及户数10户25人。</t>
  </si>
  <si>
    <t>2024年三道沟镇张明沟村入户砖铺路建设项目</t>
  </si>
  <si>
    <t>在张明沟村昌汗沟、开峁梁、张明沟自然村实施入户砖铺道路长2km及排水实施建设项目。</t>
  </si>
  <si>
    <t>张明沟村</t>
  </si>
  <si>
    <t>该项目建成后产权归村集体所有，实施后方便群众出行。预计有农户148户480人受益，其中：脱贫户1户1人。</t>
  </si>
  <si>
    <t>2024年木瓜镇台问沟村后仡佬组通孤山镇则家寨村水泥路</t>
  </si>
  <si>
    <t>新修木瓜镇台问沟村后仡佬组通孤山镇则家寨村水泥路1公里，厚18公分，宽3.5米。</t>
  </si>
  <si>
    <t>台问沟村</t>
  </si>
  <si>
    <t>项目建成后资产所有权为台问沟村，能方便群众生产生活，解决道路通行困难问题，受益农户35户75人，受益脱贫户1户1人</t>
  </si>
  <si>
    <t>2024年度庙沟门镇圪针塔村通村道路硬化项目</t>
  </si>
  <si>
    <t>计划在圪针塔村芦草疙瘩组新建通村水泥路，道路全长2km，路基宽4.5m，路面宽3.5m，路面厚18cm，路面垫层为10cm砂砾石，排水为混凝土现浇边沟，配套拦水带、生命防护栏等附属设施。</t>
  </si>
  <si>
    <t>圪针塔村</t>
  </si>
  <si>
    <t>产权归村集体所有。道路建成后有利于发展村集体经济，有效改善群众出行条件，解决农产品外运难问题，完善基础设施，保障交通安全，惠及户数20户55人，其中脱贫户6户13人。</t>
  </si>
  <si>
    <t>2024年度海则庙便民服务中心王大庄行政村杨秋峁组通村道路拓宽项目</t>
  </si>
  <si>
    <t>高王公路杨秋峁组至后花儿寨组需拓宽长1000米，宽1米，厚度15公分，混凝土结构。</t>
  </si>
  <si>
    <t>王大庄村</t>
  </si>
  <si>
    <t>项目建成后，产权归村集体所有，改善村民生产生活出行条件，受益户数50户124人，脱贫户4户10人，监测户2户8人。</t>
  </si>
  <si>
    <t>2024年度古城镇沙圪坨村联网路硬化工程</t>
  </si>
  <si>
    <t>建设从许家塔村至小王家梁水泥路，长0.8公里，宽3.5米，18公分厚的水泥路，生命防护工程600米，附带排水沟等附属设施。</t>
  </si>
  <si>
    <t>1.项目建成后，资产归沙圪坨村集体所有；2.保障46户103人的出行安全，改善人民群众的生活条件，方便群众生产，节省人力成本；3.群众满意度≧95%。</t>
  </si>
  <si>
    <t>2024年古城镇罗家沟村联网路硬化工程</t>
  </si>
  <si>
    <t>建设从罗家沟村李家沟组至哈镇戏楼沟村徐家沟组联网路硬化工程，长1公里公里，宽3.5米，18公分厚的水泥路，生命防护工程600米，附带排水沟等附属设施。</t>
  </si>
  <si>
    <t>1.项目建成后归罗家沟村集体所有；2.项目完成后改善56户123人出行条件其中脱贫户和监测户6户6人，间接的减少农户生产生活成本，同时改善罗家沟村李家沟组和哈镇戏楼沟村徐家沟组村民生产生活条件，提高群众满意度。</t>
  </si>
  <si>
    <t>2024年古城镇古城村联网路硬化工程</t>
  </si>
  <si>
    <t>建设从后城组至文庙梁组联网路硬化工程，长1.66公里，宽3.5米，18公分厚的水泥路，生命防护工程600米，附带排水沟等附属设施。</t>
  </si>
  <si>
    <t>1.项目建成后归集体所有；2.项目完成后改善59户127人出行条件其中脱贫户和监测户3户8人，间接的减少农户生产生活成本，提高群众满意度。</t>
  </si>
  <si>
    <t>2024年府谷镇河塔村东山组通村道路维修改造项目</t>
  </si>
  <si>
    <t>挖除水泥混凝土路面1250平米，新建水泥混凝土路面1250平米，厚18厘米。</t>
  </si>
  <si>
    <t>建成后资产属于河塔村，巩固提升村内118户305人的出行条件</t>
  </si>
  <si>
    <t>2024年府谷镇柳林碛村黑山自然村东通村道路扩建项目</t>
  </si>
  <si>
    <t>路面总长为360m，共3段（60m*3.5m*0.18m、130m*4m*0.18m、170m*6m*0.18m）。路面内侧做v型排水槽360m。路里建石挡墙208方（80m*1.3m*2m）。</t>
  </si>
  <si>
    <t>项目建成后所有权为黑山自然村村，解决东段存在坡陡、路窄、会车无法避让的问题，方便村民出行，受益农户136户386人，受益脱贫户3户7人。</t>
  </si>
  <si>
    <t>2024年府谷镇柳林碛村通村入户道路提升改造工程</t>
  </si>
  <si>
    <t>在柳林碛村旧村修建户户通道路1430米，方量1348方，做路牙2620米，做灰板1232方，50cm排水管12米。</t>
  </si>
  <si>
    <t>建成后资产归柳林碛自然村，保障柳林碛财产安全，提高道路使用质量。通过修建护坡石墙，可以防止水土流失，保护道路和周边建筑的安全。同时，通过硬化道路和回填土方，可以改善道路状况，提高道路使用质量。</t>
  </si>
  <si>
    <t>2024年木瓜镇柳沟村常胜梁组马根海家通常塔村罗叫墕村道路硬化项目</t>
  </si>
  <si>
    <t>新建柳沟村常胜梁组马根海家通常塔村罗叫墕村水泥路，长900米，水泥路面宽3.5米，厚18公分，配套排水等附属设施。</t>
  </si>
  <si>
    <t>项目建成后资产所有权为村集体，能方便群众生产生活，解决道路通行困难问题，缩短出行时间，受益农户65户195人，受益脱贫户 5户10人</t>
  </si>
  <si>
    <t>2024年清水镇小字村小字梁组入户道路硬化项目</t>
  </si>
  <si>
    <t>小字村小字梁组、上下张家峁组入户路红砖立铺硬化（长2400米、宽2.5米、厚0.12米）。</t>
  </si>
  <si>
    <t>产权归集体所有，改善村小字村村民生活生产出行，提升村民幸福感，受益群众195户563人，其中脱贫户（监测户）9户15人。</t>
  </si>
  <si>
    <t>2024年清水镇赵寨村入户道路硬化项目</t>
  </si>
  <si>
    <t>赵寨村铺平组至段家焉组入户路红砖立铺硬化（长4500米、宽度2.5米、厚0.12米）。其中铺平组800米，涉及15户24人；一组1100米，涉及28户53人；二组1100米，涉及34户78人；三组900米，涉及27户48人；冯家塔组600米，涉及12户23人。</t>
  </si>
  <si>
    <t>产权归集体所有，改善村民生产生活出行，提高村民幸福度，受益群众116户226人，其中脱贫户（监测户）6户8人。</t>
  </si>
  <si>
    <t>2024年武家庄镇郭家庄则村马连坪至沿黄路通村路建设项目</t>
  </si>
  <si>
    <t>新建郭家庄则村马连坪至沿黄路通村砂石路1.1公里，路面宽4米，厚15厘米及涵管、边沟等。</t>
  </si>
  <si>
    <t>该项目产权归村集体所有，改善提升马连坪村302户776人出行条件，进一步完善村内基础设施，其中脱贫户7户11人，监测户2户4人。</t>
  </si>
  <si>
    <t>2024年度武家庄镇贺家堡行政村沙峁自然村通村路建设项目</t>
  </si>
  <si>
    <t>沙峁自然村通村水泥路长1.2公里，宽3.5米，厚度18cm，配套生命防护栏、边沟排水设施。</t>
  </si>
  <si>
    <t>该项目产权归村集体所有，进一步便于沙峁村村民生产、出行，受益农户96户244人，其中脱贫户4户10人.</t>
  </si>
  <si>
    <t>2024年大昌汗镇大昌汗村瓦罐峁组通村道路硬化项目</t>
  </si>
  <si>
    <t>新建瓦罐峁组通村道路硬化项目，长度254米，宽3.5米，厚18公分。以及相关的排水等配套设施。</t>
  </si>
  <si>
    <t>建成后产权归村集体所有。解决周边21户89人种地出行问题及农产品外运问题。巩固脱贫成果，提升生活水平。</t>
  </si>
  <si>
    <t>2024年府谷镇三和村小湾组道路建设项目</t>
  </si>
  <si>
    <t>新建水泥通村道路2段：一段360米，一段420米。厚度18公分，宽3.5米。</t>
  </si>
  <si>
    <t>建成后资产属于三和村、受益群众48户142人，其中受益脱贫户4户6人。</t>
  </si>
  <si>
    <t>2024年麻镇便民服务中心麻镇村巷道硬化工程</t>
  </si>
  <si>
    <t>1.水泥硬化巷道长255米，宽2.5米，厚15厘米；
2.水泥硬化巷道长112米，宽3米，厚15厘米，涵洞1个，滴水1个，排水50米；
3.立砖铺设巷道长580米，宽2.5米。</t>
  </si>
  <si>
    <t>建成后资产归麻镇村所有，改善483户1238人，脱贫户20户36人其中监测户2户4人。生产生活出行便利，提高群众生产生活质量。</t>
  </si>
  <si>
    <t>2024年麻镇便民服务中心坪伦墩村魏家畔沟至村委村组道路工程</t>
  </si>
  <si>
    <t>立砖铺设村组道路900米，道路宽度3米、厚0.12米。</t>
  </si>
  <si>
    <t>建成后资产归坪伦墩村所有，保障生产生活出行安全和便利，提高群众生活质量。受益农户708户1756人，脱贫户32户68人其中监测户2户3人。</t>
  </si>
  <si>
    <t>2024年墙头农业园区冯家会村户户通道路硬化工程</t>
  </si>
  <si>
    <t>墙头农业园区冯家会村户户通道路硬化工程，路线总长度 6.766 公里，道路位于村内，本项目路基宽度 3.5 米，路面宽度 3.5 米，路面结构为：12cm 青红砖+15cm 水泥稳定土（5%）+15cm 天然砂砾，路本项目包含路基、路面、安全防护设施等。</t>
  </si>
  <si>
    <t>产权归集体所有，通过冯家会户户通道路硬化工程，极大地改善了村民的出行，提升了人居环境，为实现乡村振兴做好基础建设。受益410户1094人，其中脱贫户19户44人。</t>
  </si>
  <si>
    <t>2024年度碛塄农业园区柳洼村和麻地山自然村道路硬化工程</t>
  </si>
  <si>
    <t>柳洼村村内道路硬化510米，宽3米，厚15厘米水泥混凝土路面，麻地山村村内道路硬化410米，宽3米，厚15厘米水泥混凝土，路面排水沟85米。</t>
  </si>
  <si>
    <t>柳洼村</t>
  </si>
  <si>
    <t>产权归柳洼村集体所有，完善村基础设施，改善村人居环境，受益445户1312人，其中脱贫户30户57人。</t>
  </si>
  <si>
    <t>2024年度古城镇罗家沟村至贾沟畔通村路</t>
  </si>
  <si>
    <t>采用红砖立铺建设从前罗家沟组至贾沟畔组通组道路，道路长约1.2公里，宽3.5米。</t>
  </si>
  <si>
    <t>1.项目建成后产权归罗家沟村集体所有；2.解决农户出行困难问题，改善生活生产条件，受益群众32户94人；3.群众满意度≥95%。</t>
  </si>
  <si>
    <t>2024年府谷县农村供水维修养护项目</t>
  </si>
  <si>
    <t>对全县1094处农村供水工程动态监测和管护工作，及时维修设施设备，对年久失修、影响供水的工程部分进行维修养护。确保农村供水设施正常运行，巩固农村安全饮水成果。</t>
  </si>
  <si>
    <t>做好全县1094处农村供水工程动态监测和管护工作，及时维修设施设备，确保农村供水设施正常运行，巩固农村安全饮水成果。受益1267户3168人，其中脱贫户235户354人。</t>
  </si>
  <si>
    <t>水利局</t>
  </si>
  <si>
    <t>2024年府谷县农村供水应急保障项目</t>
  </si>
  <si>
    <t>18个镇（中心）应急供水保障资金，做好应急送水保障，对存在季节性缺水的村子按需送水保障，确保农村居民饮水安全，巩固农村安全饮水成果。</t>
  </si>
  <si>
    <t>做好应急送水保障，巩固农村安全饮水成果。受益2173户，5364人，其中脱贫户524户739人。</t>
  </si>
  <si>
    <t>2024年府谷县农村供水工程水质检测及达标处理项目</t>
  </si>
  <si>
    <t>开展农村安全饮水水质检测，保障水质，巩固农村安全饮水成果，按计划对全县1000处集中供水工程水源进行水质检测。对水质不达标水源进行达标处理，确保水质达标，巩固农村安全饮水成果。</t>
  </si>
  <si>
    <t>开展农村安全饮水水质检测，对水质不达标水源进行达标处理，保障水质巩固农村27267户52475人（其中脱贫户2645户5155人）安全饮水成果。</t>
  </si>
  <si>
    <t>2024年府谷县木瓜镇前梁村芦沟自然村巩固提升供水工程</t>
  </si>
  <si>
    <t>新建水源井1座（井深80m，井径1.2m），50方高位水池1，dn63输水管道1500m，到户管道dn40PE管800m，水泵1台。</t>
  </si>
  <si>
    <t>该项目产权归集体所有，巩固提升69户269人（其中脱贫户10户20人）安全饮水成果，实现安全饮水有保障。</t>
  </si>
  <si>
    <t>2024年度府谷镇柴家焉行政村一、二、三村巩固提升供水工程</t>
  </si>
  <si>
    <t>更换一二三村供水工程管线3000米，新建检查井5个，排气阀5个。</t>
  </si>
  <si>
    <t>柴家墕村</t>
  </si>
  <si>
    <t>建成后资产归柴家墕村，巩固提升农户168户497人，脱贫户8户20人的饮水。</t>
  </si>
  <si>
    <t>2024年田家寨镇东沟村瓦窑条组巩固提升供水工程</t>
  </si>
  <si>
    <t>更换上水管路600米，供水管路1300米，新建50立方米高位水池一座，新建检查井10座，水表68个。</t>
  </si>
  <si>
    <t>东沟村</t>
  </si>
  <si>
    <t>该项目建成后产权归村集体所有，巩固提升68户187人（其中脱贫户3户7人）安全饮水成果，实现安全饮水有保障。</t>
  </si>
  <si>
    <t>2024年田家寨镇东沟村前后东沟组巩固提升供水工程</t>
  </si>
  <si>
    <t>新建50立方米高位水池一座，输水管道2.5公里，供水管道2公里，供电电缆线路200米。</t>
  </si>
  <si>
    <t>该项目建成后产权归村集体所有，巩固提升75户242人（其中脱贫户4户5人）安全饮水成果，实现安全饮水有保障。</t>
  </si>
  <si>
    <t>2024年田家寨镇南门村刘兴庄组巩固提升供水工程</t>
  </si>
  <si>
    <t>新建50立方米高位水池，铺设输水管线1328米，安装20KVA变压器及自动抽水控制系统等。</t>
  </si>
  <si>
    <t>南门村</t>
  </si>
  <si>
    <t>该项目建成后产权归村集体所有，巩固提升26户71人（其中脱贫户3户7人）安全饮水成果，实现安全饮水有保障。</t>
  </si>
  <si>
    <t>2024年度古城镇油房坪村蔺圪卜自然村巩固提升供水工程</t>
  </si>
  <si>
    <r>
      <rPr>
        <sz val="14"/>
        <rFont val="仿宋"/>
        <charset val="134"/>
      </rPr>
      <t>新建50m</t>
    </r>
    <r>
      <rPr>
        <sz val="14"/>
        <rFont val="宋体"/>
        <charset val="134"/>
      </rPr>
      <t>³</t>
    </r>
    <r>
      <rPr>
        <sz val="14"/>
        <rFont val="仿宋"/>
        <charset val="134"/>
      </rPr>
      <t>高位水池1座，更换输水管线700米，供水管线约2000米，新增检查井7个，立杆水表50套。</t>
    </r>
  </si>
  <si>
    <t>1.项目建成后产权归油房坪村集体所有；2.改善生活生产条件，受益群众78户304人（其中脱贫户和监测户1户1人）；3.群众满意度≥95%。</t>
  </si>
  <si>
    <t>2024年度武家庄镇王家墩行政村王家墩自然村巩固提升供水工程</t>
  </si>
  <si>
    <r>
      <rPr>
        <sz val="14"/>
        <rFont val="仿宋"/>
        <charset val="134"/>
      </rPr>
      <t>在王家墩村沟底新建蓄水池80m</t>
    </r>
    <r>
      <rPr>
        <sz val="14"/>
        <rFont val="宋体"/>
        <charset val="134"/>
      </rPr>
      <t>³</t>
    </r>
    <r>
      <rPr>
        <sz val="14"/>
        <rFont val="仿宋"/>
        <charset val="134"/>
      </rPr>
      <t>，以截留方式引入新水源，配套扬程200米水泵一台，明敷DN50无缝钢管300米。更换高位水池下水管网，暗敷主供水DN50PE管长800m，暗敷支供水DN25PE管长2500m；井房、电线等。</t>
    </r>
  </si>
  <si>
    <t>该项目产权归村集体所有，巩固提升全村113户265人安全饮水，其中脱贫户3户6人，监测对象1户1人。</t>
  </si>
  <si>
    <t>2024年度武家庄镇郝家塔行政村刘家峁自然村巩固提升供水工程</t>
  </si>
  <si>
    <t>扩建60m3水源井，新铺设输水管路（明敷输水无缝钢管长265.0m，包括水源井内部分；暗敷输水PE管长700.0m）；新建50m3高位蓄水池一座；新铺设供水管路（暗敷主供水PE管长505.0m，暗敷支供水PE管长560.0m，暗敷分支供水PE管长775.0m，到户PE管道1200m）；实施2户居民分散用水（购买小型潜水泵及明敷跨沟PE管道400m）；新建阀门井7座；修筑施工道路0.30km；架设380V供电线路200m，配置3*16mm2铜芯电缆线100m。</t>
  </si>
  <si>
    <t>134人</t>
  </si>
  <si>
    <t>该项目产权归村集体所有，巩固提升刘家峁自然村56户134人安全饮水保障水平，其中脱贫户1户1人。</t>
  </si>
  <si>
    <t>2024年度武家庄镇集镇供水巩固提升项目</t>
  </si>
  <si>
    <r>
      <rPr>
        <sz val="14"/>
        <rFont val="仿宋"/>
        <charset val="134"/>
      </rPr>
      <t>新建50m深、直径1.2m机井1眼；200m</t>
    </r>
    <r>
      <rPr>
        <sz val="14"/>
        <rFont val="宋体"/>
        <charset val="134"/>
      </rPr>
      <t>³</t>
    </r>
    <r>
      <rPr>
        <sz val="14"/>
        <rFont val="仿宋"/>
        <charset val="134"/>
      </rPr>
      <t>高位水池1座;Φ57×3.5无缝钢管2500m；150QJ10-250型潜水泵一台；300KVA变压器一台；井房、电线等。</t>
    </r>
  </si>
  <si>
    <t>该项目产权归村集体所有，巩固提升集镇及武家庄村全村486户1436人安全饮水保障水平，其中脱贫户19户40人，监测对象2户4人。</t>
  </si>
  <si>
    <t>2024年度哈镇店塔村鱼儿湾组巩固提升供水工程</t>
  </si>
  <si>
    <t>新建截潜流井1座，渗管为钢筋砼预制管，尺寸为:内径1.0米、净长60米、壁厚0.10米、每节长2米。渗管底板采用C20砼浇筑，厚0.20米,同时铺铺设粗砂、碎石、卵石滤料各30厘米。竖井深10.5米、宽3米，铺设输水管道dn63PE管372米。</t>
  </si>
  <si>
    <t>该项目产权归村集体所有，巩固提升47户75人（监测户1户2人）安全饮水成果，实现安全饮水有保障。</t>
  </si>
  <si>
    <t>2024年度孤山镇沙坬村沙洼自然村巩固提升供水工程</t>
  </si>
  <si>
    <t>新打水井1座，深50米，内径1.2米，500mDN50无缝铁管，PE63上水管700米，100m供电线，水泵1台。</t>
  </si>
  <si>
    <t>产权归村集体所有。改善提升村全村105户280人（其中脱贫户2户3人）人饮条件，巩固脱贫攻坚成果，提升群众满意度。</t>
  </si>
  <si>
    <t>2024年度哈镇大岔村三道峁组巩固提升供水工程</t>
  </si>
  <si>
    <t>在大岔村三道峁组新建水源截流井1处，水井由竖井和渗渠两部分组成，竖井为封闭式钢筋砼大口井，深度为13.0米，内径为3.0米，渗渠长80米；铺设中57X3.5无缝钢管80米。</t>
  </si>
  <si>
    <t>该项目产权归村集体所有，巩固提升34户58人（脱贫户7户12人）安全饮水成果，实现安全饮水有保障。</t>
  </si>
  <si>
    <t>2024年度古城镇古城村贾家梁组巩固提升供水工程</t>
  </si>
  <si>
    <r>
      <rPr>
        <sz val="14"/>
        <rFont val="仿宋"/>
        <charset val="134"/>
      </rPr>
      <t>(1)新建蓄水池1座及集水沟 (50m</t>
    </r>
    <r>
      <rPr>
        <sz val="14"/>
        <rFont val="宋体"/>
        <charset val="134"/>
      </rPr>
      <t>³</t>
    </r>
    <r>
      <rPr>
        <sz val="14"/>
        <rFont val="仿宋"/>
        <charset val="134"/>
      </rPr>
      <t>);
(2)更换部分输水管线;
(3)配置3*10mmt铜芯电缆线 50m。</t>
    </r>
  </si>
  <si>
    <t>1.项目建成后产权归古城村集体所有；2.改善生活生产条件，受益群众35户55人（其中脱贫户2户2人）；3.群众满意度≧95%。</t>
  </si>
  <si>
    <t>2024年墙头农业园区尧峁行政村尧峁五村巩固提升供水工程</t>
  </si>
  <si>
    <r>
      <rPr>
        <sz val="14"/>
        <rFont val="仿宋"/>
        <charset val="134"/>
      </rPr>
      <t>新建尧峁五村人饮工程，建设内容主要包括1580m</t>
    </r>
    <r>
      <rPr>
        <sz val="14"/>
        <rFont val="宋体"/>
        <charset val="134"/>
      </rPr>
      <t>³</t>
    </r>
    <r>
      <rPr>
        <sz val="14"/>
        <rFont val="仿宋"/>
        <charset val="134"/>
      </rPr>
      <t>土方开挖，dn50×4.6PE管760m，50m</t>
    </r>
    <r>
      <rPr>
        <sz val="14"/>
        <rFont val="宋体"/>
        <charset val="134"/>
      </rPr>
      <t>³</t>
    </r>
    <r>
      <rPr>
        <sz val="14"/>
        <rFont val="仿宋"/>
        <charset val="134"/>
      </rPr>
      <t>钢筋砼高位水池1座，20kva变压器及供电线路一套</t>
    </r>
  </si>
  <si>
    <t>尧峁村</t>
  </si>
  <si>
    <t>产权归村集体，建成可改善尧峁村五组人畜饮水条件，为村民生产生活提供便利，受益农户60户152人，其中脱贫户5户18人。</t>
  </si>
  <si>
    <t>2024年度孤山镇五里墩村沙沟自然村巩固提升供水工程</t>
  </si>
  <si>
    <t>新建水源蓄水池1座，铺设输水dn63×5.8PE管700m，铺设供水管线1485米（其中dn50×4.6PE管585m，dn32×3.0PE管400m，dn25×2.3PE管500m）等。</t>
  </si>
  <si>
    <t>五里墩村</t>
  </si>
  <si>
    <t>产权归村集体所有。巩固提升40户114人（其中脱贫户2户3人）安全饮水成果，实现安全饮水有保障。</t>
  </si>
  <si>
    <t>2024年度孤山镇沙坬村水口自然村巩固提升供水工程</t>
  </si>
  <si>
    <t>新打水井1座，深50米，内径1.2米，200米DN50无缝铁管，PE63上水管线700米，PE50供水管线300米，PE32供水管线200米，水泵1台，电线100米，检查井4个。</t>
  </si>
  <si>
    <t>产权归村集体所有。改善提升村全村20户60人人饮条件，巩固脱贫攻坚成果，提升群众满意度。</t>
  </si>
  <si>
    <t>2024年度黄甫镇西王寨村石寨、寨崖湾自然村安全饮水巩固提升项目</t>
  </si>
  <si>
    <t>由寨崖湾河对岸铺设河槽下管道约200米至寨崖湾河岸，铺设4寸PE管约1500米至寨崖湾高位水池，分接4寸PE管约200米至石寨新建高位水池；铺设输水管线3寸PE管1200米连接石寨高位水池至石寨检查井；铺设4寸PE管1千米连接庄则村高位水池出水处至石寨旧村高位水池。</t>
  </si>
  <si>
    <t>产权归村集体所有。巩固提升石寨村103户267人（其中脱贫户5户8人）、寨崖湾村72户174人（其中脱贫户1户1人）安全饮水成果，实现安全饮水有保障。</t>
  </si>
  <si>
    <t>2024年度黄甫镇山神堂村安全饮水巩固提升项目</t>
  </si>
  <si>
    <t>更换山神堂村一村、二村供水管线，铺设6毫米厚Φ89无缝钢管4800米。</t>
  </si>
  <si>
    <t>产权归村集体所有。巩固提升山神堂一、二村村155户391人（其中脱贫户3户3人，监测户1户1人）安全饮水成果，改善生活生产条件，实现安全饮水有保障。</t>
  </si>
  <si>
    <t>2024年度老高川镇李家石畔村孙家梁组巩固提升供水工程</t>
  </si>
  <si>
    <t>接入水务公司水源，输水工程;输水Φ57×3.5无缝钢管2378m，dn63×5.8PE管1076m；供水工程：dn50×4.6PE管1266m，dn32×3.0PE管1152m，dn25×2.3PE管500m，检查井3座，维修高位水池及相关配件。</t>
  </si>
  <si>
    <t>该项目产权归村集体所有，巩固提升40户120人（其中脱贫户3户5人）安全饮水成果，实现安全饮水有保障。</t>
  </si>
  <si>
    <t>2024年度老高川镇磁尧村小板兔组巩固提升供水工程</t>
  </si>
  <si>
    <t>打机井1眼，井深50米，机房，输水工程Dn63PE管道440m，14个检查井，维修30m3高位水池1座，供水工程：Dn50PE管360m、Dn32PE管950m,、Dn25PE管550m，购置水泵1台及相关配件。</t>
  </si>
  <si>
    <t>该项目产权归村集体所有，巩固提升34户114人安全饮水成果，实现安全饮水有保障。</t>
  </si>
  <si>
    <t>2024年度老高川镇老高川村李家梁组、石岩畔组巩固提升供水工程</t>
  </si>
  <si>
    <r>
      <rPr>
        <sz val="14"/>
        <rFont val="仿宋"/>
        <charset val="134"/>
      </rPr>
      <t>引用惠泉水，铺设Dn89无缝钢管350m，分水阀门井1个，石岩畔分水池50m</t>
    </r>
    <r>
      <rPr>
        <sz val="14"/>
        <rFont val="宋体"/>
        <charset val="134"/>
      </rPr>
      <t>³</t>
    </r>
    <r>
      <rPr>
        <sz val="14"/>
        <rFont val="仿宋"/>
        <charset val="134"/>
      </rPr>
      <t>，机房、输水管道Dn63PE管1570m、石岩畔组高位水池50m</t>
    </r>
    <r>
      <rPr>
        <sz val="14"/>
        <rFont val="宋体"/>
        <charset val="134"/>
      </rPr>
      <t>³</t>
    </r>
    <r>
      <rPr>
        <sz val="14"/>
        <rFont val="仿宋"/>
        <charset val="134"/>
      </rPr>
      <t>，李家梁高位水池30m</t>
    </r>
    <r>
      <rPr>
        <sz val="14"/>
        <rFont val="宋体"/>
        <charset val="134"/>
      </rPr>
      <t>³</t>
    </r>
    <r>
      <rPr>
        <sz val="14"/>
        <rFont val="仿宋"/>
        <charset val="134"/>
      </rPr>
      <t>、供水管道：Dn50PE管1850m、Dn40PE管1320m、Dn32PE管1560m,、Dn25PE管820m，检查井25座及相关配件。</t>
    </r>
  </si>
  <si>
    <t>该项目产权归村集体所有，巩固提升78户214人安全饮水成果，实现安全饮水有保障。</t>
  </si>
  <si>
    <t>2024年度老高川镇老高川村赵峁梁组巩固提升供水工程</t>
  </si>
  <si>
    <r>
      <rPr>
        <sz val="14"/>
        <rFont val="仿宋"/>
        <charset val="134"/>
      </rPr>
      <t>铺设Dn76钢管320m，加压站一座，输水工程Dn63PE管道730m，建设50m</t>
    </r>
    <r>
      <rPr>
        <sz val="14"/>
        <rFont val="宋体"/>
        <charset val="134"/>
      </rPr>
      <t>³</t>
    </r>
    <r>
      <rPr>
        <sz val="14"/>
        <rFont val="仿宋"/>
        <charset val="134"/>
      </rPr>
      <t>高位水池一个，检查井3个，铺设到户dn63PE管750m及相关配件。</t>
    </r>
  </si>
  <si>
    <t>该项目产权归村集体所有，巩固提升43户143人安全饮水成果，实现安全饮水有保障。</t>
  </si>
  <si>
    <t>2024年度老高川镇长方梁村字峁组巩固提升供水工程</t>
  </si>
  <si>
    <r>
      <rPr>
        <sz val="14"/>
        <rFont val="仿宋"/>
        <charset val="134"/>
      </rPr>
      <t>引用惠泉水，50m</t>
    </r>
    <r>
      <rPr>
        <sz val="14"/>
        <rFont val="宋体"/>
        <charset val="134"/>
      </rPr>
      <t>³</t>
    </r>
    <r>
      <rPr>
        <sz val="14"/>
        <rFont val="仿宋"/>
        <charset val="134"/>
      </rPr>
      <t>水源井中转池，加压站一座，分水阀门井一个，输水工程DN57无缝钢管1314米，dn63PE给水管200米，50m</t>
    </r>
    <r>
      <rPr>
        <sz val="14"/>
        <rFont val="宋体"/>
        <charset val="134"/>
      </rPr>
      <t>³</t>
    </r>
    <r>
      <rPr>
        <sz val="14"/>
        <rFont val="仿宋"/>
        <charset val="134"/>
      </rPr>
      <t>高位水池，供水工程：dn63PE管810米， dn40PE管3604米， dn32PE管1410米，dn25PE管1135米，检查井25座。</t>
    </r>
  </si>
  <si>
    <t>该项目产权归村集体所有，巩固提升41户119人（其中脱贫户2户4人）安全饮水成果，实现安全饮水有保障。</t>
  </si>
  <si>
    <t>2024年度麻镇便民服务中心赵家渠自然村巩固提升供水工程</t>
  </si>
  <si>
    <r>
      <rPr>
        <sz val="14"/>
        <rFont val="仿宋"/>
        <charset val="134"/>
      </rPr>
      <t>更换供水管线3.2km，更换输水管线1.1km，新建50m</t>
    </r>
    <r>
      <rPr>
        <sz val="14"/>
        <rFont val="宋体"/>
        <charset val="134"/>
      </rPr>
      <t>³</t>
    </r>
    <r>
      <rPr>
        <sz val="14"/>
        <rFont val="仿宋"/>
        <charset val="134"/>
      </rPr>
      <t>高位水池一座等。</t>
    </r>
  </si>
  <si>
    <t>产权归村集体所有。巩固提升21户38人安全饮水成果，实现安全饮水有保障。</t>
  </si>
  <si>
    <t>2024年碛塄农业园区王家洼村王家洼自然村巩固提升供水工程</t>
  </si>
  <si>
    <t>更换王家洼自然村自来水63PE主管道1400米，分支管型号45PE管1500米，管道型号32PE管3000米，检查井10个，水泥路面切割修补，配套阀门等。</t>
  </si>
  <si>
    <t>产权归村集体所有。改善群众吃水困难问题，提升村民生活幸福感，切实保障群众饮水安全，受益群众200户556人，其中脱贫户8户15人。</t>
  </si>
  <si>
    <t>2024年碛塄农业园区柳洼村康家山巩固提升供水工程</t>
  </si>
  <si>
    <t>康家山村新建水井工程及配套设施输水管线。深50米，主管道2000米，型号63PE管。水泵1套，电力设施。</t>
  </si>
  <si>
    <t>产权归村集体所有。完善生产基础设施，确保群众生活正常开展，保障饮水安全，受益户61户178人，其中脱贫户5户12人，产权归村集体所有。</t>
  </si>
  <si>
    <t>2024年碛塄农业园区柳洼村伙家山巩固提升供水工程</t>
  </si>
  <si>
    <t>伙家山新建水井工程及配套设施输水管线。深100米，主管道2000米，型号63PE管。水泵1套，电力设施。</t>
  </si>
  <si>
    <t>产权归村集体所有。完善生产基础设施，确保群众生活正常开展，保障饮水安全，受益户68户210人，其中脱贫户4户7人，产权归村集体所有。</t>
  </si>
  <si>
    <t>2024年清水镇元峁村下元峁组巩固提升供水工程</t>
  </si>
  <si>
    <t>新建水源井1处（水井深度30米、直径3米）配套圆柱井房1处（高3米、直径3米），另新建38个入户检查井（深2米、直径1米）</t>
  </si>
  <si>
    <t>产权归村集体所有。改善下元峁122户322人，其中脱贫户3户4人安全饮水条件。</t>
  </si>
  <si>
    <t>2024年田家寨镇李岔村常阳湾梁组巩固提升供水工程</t>
  </si>
  <si>
    <t>新打深50米机井一眼，新建井房1座（内径3.00m、净高3.00m）；铺设输水管道1090m（φ57*3.5无缝钢管290.0m，dn63*5.8PE管800m），铺设供水管道3427m；维修高位水池2座；配套抽水设备一套，150QJ10—250/35型潜水泵。</t>
  </si>
  <si>
    <t>项目建成后产权属于李岔村，可有效改善33户80人（其中脱贫户3户8人）饮水条件，提高群众满意度，巩固拓展脱贫攻坚成果。</t>
  </si>
  <si>
    <t>2024年田家寨镇张圪崂村兴庄子村巩固提升供水工程</t>
  </si>
  <si>
    <t>更换兴庄子组上水管线dn63*5.8PE管800m，新建检查井25个，更换下水管线dn63*5.8PE管400m，入户dn25PE管1000m。</t>
  </si>
  <si>
    <t>项目资产权属于张圪崂村，可有效改善54户129人（其中脱贫户8户12人）饮水条件，提高群众满意度。</t>
  </si>
  <si>
    <t>2024年田家寨镇南门村苏家洼组巩固提升供水工程</t>
  </si>
  <si>
    <t>苏家洼村更换下水管线dn63*5.8PE管800m，入户管线dn25PE管1200m。</t>
  </si>
  <si>
    <t>项目建成后产权属于南门村，可改变苏家洼组96户237人（其中脱贫户2户3人）的饮水存在问题，巩固脱贫成果。</t>
  </si>
  <si>
    <t>2024年度武家庄镇白家峁村舍科自然村巩固提升供水项目</t>
  </si>
  <si>
    <t>从白家峁村现有高位水池（120立方米）引水，敷设DN50镀锌钢管3000余米，配套检查井8座，安装阀门、供电设施。</t>
  </si>
  <si>
    <t>产权归村集体所有。巩固提升舍科自然村69户169人饮水问题，其中脱贫户5户11人。</t>
  </si>
  <si>
    <t>2024年度武家庄镇白云乡行政村张家峁自然村巩固提升供水工程项目</t>
  </si>
  <si>
    <t>在张家峁自然村大沟打直径1.5米机井一眼，深30米，配套6米长2寸钢管6根，扬程200米的水泵一台，维修入户PE管道（DN40）300米。</t>
  </si>
  <si>
    <t>产权归村集体所有。巩固提升张家峁自然村48户118名群众饮水安全问题，其中脱贫户6户8人。</t>
  </si>
  <si>
    <t>2024年度武家庄镇见虎墕村刘家畔自然村巩固提升供水项目</t>
  </si>
  <si>
    <t>在刘家畔旧村水源井引水到移民新区高位水池，明敷DN50无缝钢管800米,DN50PE管1200米，配套深井水泵18.5KW一台、配电柜等。</t>
  </si>
  <si>
    <t>见虎墕村</t>
  </si>
  <si>
    <t>产权归村集体所有。巩固提升全村67户128人安全饮水，其中脱贫户16户21人。</t>
  </si>
  <si>
    <t>2024年新民镇陈庄村松树畔、陈圪梁村巩固提升供水工程</t>
  </si>
  <si>
    <t>陈圪梁新建100米深水井1口，上水管道900米（其中2寸镀锌管300米，2寸PE管500米，井中水泥管100米），三相400米扬程水泵1台，更换100千瓦变压器1台，配套架设抽水高压线900米。松树畔旧井水量太小，计划在旁边5米左右新建80米深井一座，井中水泥管80米，上水管道2寸镀锌管50米，2寸PE管400米，三相300米扬程水泵1台，更换100千瓦变压器一台，配套架设抽水高压线400米。</t>
  </si>
  <si>
    <t>该项目建成后产权归集体所有，巩固提升80户261人（其中脱贫户1户3人）安全饮水成果，实现安全饮水有保障。</t>
  </si>
  <si>
    <t>2024年新民镇高山村巩固提升供水工程</t>
  </si>
  <si>
    <t>计划在郝家兴庄、唐山、高山进行水务公司饮用水入户项目，现主管道已修好，需新建标准检查井9个，主管道2寸PE管2000米，配套3个自然村入户管道1寸PE管8000米、入户阀门128个、入户水表128个等设施，人工费用等。</t>
  </si>
  <si>
    <t>高山村</t>
  </si>
  <si>
    <t>该项目建成后产权归集体所有，巩固提升115户267人（其中脱贫户3户5人）安全饮水成果，实现安全饮水有保障。</t>
  </si>
  <si>
    <t>2024年度木瓜镇前梁村红湾自然村巩固提升供水工程</t>
  </si>
  <si>
    <t>新建水源井1座（井深80m，井径1m），2寸输水管道1500m，架设380V高压线路1000米，架设3*10mm2的铜芯电缆线80米，配套2寸多级离心水泵一台及水井房一座。</t>
  </si>
  <si>
    <t>该项目产权归集体联合社所有，巩固提升52户149人（其中已脱贫户4户7人，监测户1户6人）安全饮水成果，实现安全饮水有保障。</t>
  </si>
  <si>
    <t>2024年府谷县木瓜镇前梁村南庄自然村巩固提升供水工程</t>
  </si>
  <si>
    <t>维修水源井1眼，新建井房1座，输水管道dn63PE管900m，高压电线800m及配套抽水设施1套。</t>
  </si>
  <si>
    <t>该项目产权归集体所有，巩固提升43户138人安全饮水成果，实现安全饮水有保障。</t>
  </si>
  <si>
    <t>2024年度庙沟门镇粉房沟村粉房沟组油房梁巩固提升供水工程</t>
  </si>
  <si>
    <t>新建深40m水井1眼，供水管道1000m(其中dn63PE管500m，dn50PE管300m，dn32PE管200m），扬程150米，安装7.5KW光伏发电设备。</t>
  </si>
  <si>
    <t>粉房沟村</t>
  </si>
  <si>
    <t>产权归村集体所有。巩固提升19户56人（其中脱贫户1户1人）安全饮水成果，实现安全饮水有保障，巩固脱贫攻坚成果，提升群众满意度。</t>
  </si>
  <si>
    <t>2024年度庙沟门镇石峡梁村许家梁阳塔村组巩固提升供水工程</t>
  </si>
  <si>
    <t>新建深40m水井1眼，50m3水源蓄水池，供水管道1000m(其中dn63PE管500m，dn50PE管300m，dn32PE管200m），扬程168米，安装7.5光伏发电设备。</t>
  </si>
  <si>
    <t>石峡梁村</t>
  </si>
  <si>
    <t>产权归村集体所有。巩固提升31户98人（其中脱贫户2户4人）安全饮水成果，实现安全饮水有保障。</t>
  </si>
  <si>
    <t>2024年度海则庙便民服务中心孙崖尧行政村巩固提升供水工程</t>
  </si>
  <si>
    <t>1.在当村、刘家梁、前墕自然村各新建一个直径1米，深2米的检查井，需要配套设施：水管约7公分，水表，阀门，三筒。2.在淡寨村新建截流井，容量150立方米，新建50立方米蓄水池。</t>
  </si>
  <si>
    <t>孙崖尧村</t>
  </si>
  <si>
    <t>项目建成后，产权归村集体所有，巩固提升当村、刘家梁、前墕、淡寨四个村农户251户667人，其中脱贫户10户21人、监测户1户1人安全饮水成果，实现安全饮水有保障。</t>
  </si>
  <si>
    <t>2024年度海则庙便民服务中心王家焉行政村巩固提升供水工程</t>
  </si>
  <si>
    <t>在王家焉旧村新建100立方米蓄水池，1.5寸镀锌管带阀兰，管道约4000米，一台22千瓦水泵，需800米的三项动力电线路，阀门若干、其他附属设施</t>
  </si>
  <si>
    <t>王家焉村</t>
  </si>
  <si>
    <t>产权归村集体所有。巩固提升王家焉、尖堡则、张崖尧三个村农户205户760人，其中脱贫户14户28人，监测户2户5人安全饮水，实现安全饮水有保障。</t>
  </si>
  <si>
    <t>2024年度海则庙便民服务中心高粱沟村青阳墕组巩固提升供水工程</t>
  </si>
  <si>
    <t>在青阳墕组打井1眼，直径1.2米深100m、高位水池100m3，铺设输水DN50无缝钢管400m，dn63PE供水管道1500m，供电线路1000米，配套水泵等供水设施。</t>
  </si>
  <si>
    <t>项目建成后归村集体所有，巩固提升安全饮水成果，实现安全饮水有保障。预计农户有165户346人（其中脱贫户8户15人，监测户1户1人）可受益。</t>
  </si>
  <si>
    <t>2024年府谷镇尖圪垯村后庄组麻火沟组村巩固提升供水工程</t>
  </si>
  <si>
    <t>新建水源井，铺设输水Φ57×3.5无缝钢管2000m，dn63×5.8PE管1500m；更换输配水管网3950km（其中dn50×4.6PE管400m，dn40×3.7PE管1050m，dn32×3.0PE管1300m，dn25×2.3PE管1200m）等。</t>
  </si>
  <si>
    <t>尖圪垯村</t>
  </si>
  <si>
    <t>建成后资产属于尖圪垯村，巩固提升后庄和麻火沟自然村人蓄饮水问题，保证水源充足，受益农户85户251，其中受益脱贫户10户21人</t>
  </si>
  <si>
    <t>2024年府谷镇院庙梁村沙后河村巩固提升供水工程</t>
  </si>
  <si>
    <t>维修现在的人饮主管道1200米（4寸PE管），支管道1900米（3寸PE管）。</t>
  </si>
  <si>
    <t>院庙梁村</t>
  </si>
  <si>
    <t>建成后资产归院庙梁村，巩固提升村内的人畜饮水，受益群众312户1011人，其中受益脱贫户8户9人</t>
  </si>
  <si>
    <t>2024年府谷镇西山村巩固提升供水工程</t>
  </si>
  <si>
    <t>1.更换西山自然村、杨家沟自然村下水管线7500米、新建检查井18个及配套设施。</t>
  </si>
  <si>
    <t>建成后资产归西山村，巩固提升村内人饮项目，益农户342户969人，受益脱贫户13户22人。</t>
  </si>
  <si>
    <t>2024年府谷镇王家畔村红焉组巩固提升供水工程</t>
  </si>
  <si>
    <t>重新铺设入户主管道 1500 米，检查井10个，及配套设备建设。</t>
  </si>
  <si>
    <t>建成后资产归王家畔村红焉组，巩固提升45户128人饮水。</t>
  </si>
  <si>
    <t>2024年度黄甫镇黄糜咀村常王寨上下自然村巩固提升供水工程</t>
  </si>
  <si>
    <t>连接庄则村高位水池到常王寨村，铺设供水管线3寸PE管2千米，建设检查井2个，安装水表39个。</t>
  </si>
  <si>
    <t>该项目建成后产权归黄糜咀村，由黄糜咀村负责后期管护。巩固提升常王寨上下村159户408人（其中脱贫户7户12人）安全饮水成果，实现安全饮水有保障。</t>
  </si>
  <si>
    <t>2024年麻镇便民服务中心麻镇村陈庄自然村巩固提升供水工程</t>
  </si>
  <si>
    <t>建设截潜流井1座，橫井水泥管直径1米，长度50米；配套30KW变压器1台，三相水泵1台，输电线200米。</t>
  </si>
  <si>
    <t>建成后资产归麻镇村所有，保障65户141人（其中脱贫户5户11人）人畜饮水供给，提高群众生活质量。</t>
  </si>
  <si>
    <t>2024年度麻镇便民服务中心坪伦墩村韩家焉组巩固提升供水工程</t>
  </si>
  <si>
    <t>新建人饮井1眼，铺设上水管线4200米，配套电力设施。</t>
  </si>
  <si>
    <t>建成后资产归坪伦墩村所有，保障韩家焉村16户27人、脱贫户3户4人及410只羊子人畜饮水安全。</t>
  </si>
  <si>
    <t>2024年清水镇古沟村阳崖组巩固提升供水工程</t>
  </si>
  <si>
    <r>
      <rPr>
        <sz val="14"/>
        <rFont val="仿宋"/>
        <charset val="134"/>
      </rPr>
      <t>新建50m</t>
    </r>
    <r>
      <rPr>
        <sz val="14"/>
        <rFont val="宋体"/>
        <charset val="134"/>
      </rPr>
      <t>³</t>
    </r>
    <r>
      <rPr>
        <sz val="14"/>
        <rFont val="仿宋"/>
        <charset val="134"/>
      </rPr>
      <t>高位水池1座，更换供水dn63×5.8PE管线1000m等。</t>
    </r>
  </si>
  <si>
    <t>古沟村</t>
  </si>
  <si>
    <t>产权归集体所有，巩固提升安全饮水成果，实现安全饮水有保障，受益群众68户182人，其中脱贫户（监测户）3户7人。</t>
  </si>
  <si>
    <t>2024年清水镇古沟村边前湾组巩固提升供水工程</t>
  </si>
  <si>
    <t>新建水源井1处，水井深度20米、直径3米以及更新上水钢管1100米。</t>
  </si>
  <si>
    <t>产权归集体所有，巩固提升安全饮水成果，实现安全饮水有保障受益群众54户116人。</t>
  </si>
  <si>
    <t>2024年清水镇古沟村红塔组巩固提升供水工程</t>
  </si>
  <si>
    <t>新建直径3m，井深12m大口水源井1眼，机房1座及其附属设施，铺设供水管550m（dn32×3.0PE管450m，dn25×2.3PE管100m）等。</t>
  </si>
  <si>
    <t>产权归集体所有，巩固提升安全饮水成果，实现安全饮水有保障，受益群众88户237人，其中脱贫户（监测户）1户1人。</t>
  </si>
  <si>
    <t>2024年清水镇青春峁村一、二、三、四组巩固提升供水工程</t>
  </si>
  <si>
    <t>新建水源井一眼，直径3米，井深15米，铺设上水钢管2000米，配套50A变压器一台，2000米长电线。</t>
  </si>
  <si>
    <t>青春峁村</t>
  </si>
  <si>
    <t>产权归集体所有，巩固提升一二三四村安全饮水成果，实现安全饮水有保障。受益群众167户425人，其中脱贫户（监测户）9户18人。</t>
  </si>
  <si>
    <t>2024年田家寨镇兴旺庄村王胡峁组巷道硬化工程</t>
  </si>
  <si>
    <t>硬化巷道1850米，宽3米，厚15厘米，新修排水850米。</t>
  </si>
  <si>
    <t>项目建成后产权属于兴旺庄村王胡峁组，可提升王胡峁组基础设施和公共服务基础，改善人居环境，方便全村44户109人（其中脱贫户2户5人）生活，提高群众满意度和幸福指数。</t>
  </si>
  <si>
    <t>2024年度武家庄镇郭家庄则村南洼组巩固提升供水工程</t>
  </si>
  <si>
    <t>更换南洼组人饮供水管线dn63PE管2000米以及检查井、水表相关配套实施。</t>
  </si>
  <si>
    <t>该项目产权归村集体所有，巩固提升南洼自然村71户199安全饮水保障水平，其中脱贫户4户9人，监测对象1户2人。</t>
  </si>
  <si>
    <t>2024年度碛塄农业园区柳洼村齐家寨自然村巩固提升供水工程</t>
  </si>
  <si>
    <t>柳洼村齐家寨自然村更换人饮工程输水管线，型号45PE管1500米，管道型号32PE管2500米，水泥路面切割修补，配套阀门、检查井等。</t>
  </si>
  <si>
    <t>产权归村集体所有。确保群众生产生活正常开展，保障饮水安全，受益户96户303人，其中脱贫户7户12人。</t>
  </si>
  <si>
    <t>2024年府谷镇柳林碛村柳林碛组排水渠维修项目</t>
  </si>
  <si>
    <t>水道维修抹面共1170m，其中：1.对柳林村村委会广场至天府路路段长度620米排水渠水泥抹面翻新；2.维修郭彦清门前道张菊花房后水道50m，抹水泥面100平米；旧水厂到郭应计房后路水道500米水泥抹面。</t>
  </si>
  <si>
    <t>建成后资产归柳林碛自然村，提高柳林碛该路段排水渠的使用寿命和结构稳定性，增强排水渠的排水能力，降低维护成本，通过修复和改善排水渠，可以促进雨水的回收和利用，减少对环境的影响，并符合可持续发展的要求。</t>
  </si>
  <si>
    <t>2024年府谷镇柳林碛村黑山组大棚产业物流中转建设项目</t>
  </si>
  <si>
    <r>
      <rPr>
        <sz val="14"/>
        <rFont val="仿宋"/>
        <charset val="134"/>
      </rPr>
      <t>挖石方11577.06m</t>
    </r>
    <r>
      <rPr>
        <sz val="14"/>
        <rFont val="宋体"/>
        <charset val="134"/>
      </rPr>
      <t>³</t>
    </r>
    <r>
      <rPr>
        <sz val="14"/>
        <rFont val="仿宋"/>
        <charset val="134"/>
      </rPr>
      <t>，土方9218.04m</t>
    </r>
    <r>
      <rPr>
        <sz val="14"/>
        <rFont val="宋体"/>
        <charset val="134"/>
      </rPr>
      <t>³</t>
    </r>
    <r>
      <rPr>
        <sz val="14"/>
        <rFont val="仿宋"/>
        <charset val="134"/>
      </rPr>
      <t>，平整停车场地9990.06㎡及填充其他配套场地土方1020m</t>
    </r>
    <r>
      <rPr>
        <sz val="14"/>
        <rFont val="宋体"/>
        <charset val="134"/>
      </rPr>
      <t>³</t>
    </r>
    <r>
      <rPr>
        <sz val="14"/>
        <rFont val="仿宋"/>
        <charset val="134"/>
      </rPr>
      <t>，铺设100规格PE供水管道600米，铺设供电线路500米。</t>
    </r>
  </si>
  <si>
    <t>项目建成后所有权为黑山自然村村，利用西村口场地平整、硬化，一方面改善西村口村容村貌，另一方面利用空地为五一煤矿附近大车提供临时停车场，及出租地段，每年预计增加村集体收入30万，受益农户136户386人，受益脱贫户3户7人。</t>
  </si>
  <si>
    <t>2024年农村高标准卫生公厕建设项目</t>
  </si>
  <si>
    <t>为全面推进我县农村公厕建设和管理水平，在墙头农业园区尧渠行政村（徐家梁村、尧渠上村），前园则和墙头村建设农村高标准公厕4座,其中大公厕3座，小公厕1座。大公厕包括3个男厕位，3个小便器，1个工具房，4个女厕位，1个工具房，1个储藏室，1个无障碍卫生间，1个公共洗手区；小公厕包括3个男厕位，3个小便器，5个女厕位，1个储藏室，1个公共洗手区。</t>
  </si>
  <si>
    <t>墙头村、尧渠村</t>
  </si>
  <si>
    <t>为全面推进我县农村公厕建设和管理水平，在墙头村、尧渠村、前园则村建设农村高标准卫生公厕4座，建成后产权归项目所在村集体所有。有效提升村内公共服务水平，改善提升村庄人居环境。</t>
  </si>
  <si>
    <t>2024年田家寨镇李岔村人居环境整治项目</t>
  </si>
  <si>
    <t>新建公共卫生厕所一座（长8米，宽3米，高2.5米，设置蹲位6个）；购置户外分类垃圾箱20个；购置大型垃圾箱（3方勾臂箱：2050mm*1450mm*1000mm）20个等。</t>
  </si>
  <si>
    <t>项目建成后产权属于李岔村，可提升李岔村基础设施和公共服务基础，为全村全村517户1353人（其中脱贫户和监测户57户170人）生活提供方便，有效实现垃圾分类，进一步改善人居环境，提高农户满意度和幸福指数。</t>
  </si>
  <si>
    <t>2024年新民镇新民村公共卫生厕所建设项目</t>
  </si>
  <si>
    <t>在新民一村、新民二村安置太阳能可移动水冲式公共卫生厕所2座，均为男2女1蹲位规格，并配套公厕内照明、取暖设备各一套。</t>
  </si>
  <si>
    <t>该项目用于2024年市级示范村建设，产权归集体所有。可改善村内人居环境，给村内独居老人、常住户及游客提供便利，改善村民居住环境，推进厕所革命进度。</t>
  </si>
  <si>
    <t>2024年三道沟镇新庙村高标准公厕建设项目</t>
  </si>
  <si>
    <t>在新庙村草湾新建水冲公共卫生厕所2座，每座5个蹲位（3男2女）、2个小便池。</t>
  </si>
  <si>
    <t>该项目建成后产权归村集体所有，实施后提升人居环境，预计有农户503户1419人受益，其中：脱贫户4户8人、监测户1户3人。</t>
  </si>
  <si>
    <t>2024年度府谷县木瓜镇前梁村阳坡自然村公厕及污水收集排放项目</t>
  </si>
  <si>
    <t>在阳坡超市新建公厕一座，设置管理室1间，男卫生间（蹲位3个）、男卫生间（蹲位3个）各一室，配套供暖、给排水系统，20方化粪池一个；新建污水收集、排放系统，包括50方玻璃污水收集池1个，110PVC管300米。</t>
  </si>
  <si>
    <t>该项目用于2024年市级示范村建设，产权归集体所有。可改善公共区域人居环境，解决农超污水随意倾倒问题，给常住户及游客提供便利，改善村民居住环境。预计有63户176人受益，其中脱贫户1户1人。</t>
  </si>
  <si>
    <t>2024年新民镇新民村雨污水管网改造工程</t>
  </si>
  <si>
    <t>新民一二村下水管网维修改造，改造管线50波纹管500米，维修雨水污水阀门井30个，更换井盖30个，漏水井盖50个。</t>
  </si>
  <si>
    <t>该项目建成后产权归村集体所有，项目可有效改善村容村貌，受益农户136户533人，其中脱贫户2户3人，监测对象1户4人。</t>
  </si>
  <si>
    <t>2024年府谷镇柳林碛村黑山组生活污水收集灌溉项目</t>
  </si>
  <si>
    <t>建设混凝土硬化地沟395米，地沟安装D40钢带波纹管395米，新建污水井10个，同时处理幸福院上下水。</t>
  </si>
  <si>
    <t>2024年大昌汗镇石籽焉村人居环境整治项目</t>
  </si>
  <si>
    <t>对石籽焉村郭大路沿线容村貌进行改造。包括：购置小型新能源垃圾清运车3辆，购买垃圾箱20个，对尔林沟、羊路沟残垣断壁进行清理整治。</t>
  </si>
  <si>
    <t>该项目产权归集体所有，项目建成后，改善人居环境，受益群众496户1467人，其中脱贫户13户17人。</t>
  </si>
  <si>
    <t>2024年大昌汗镇大昌汗村人居环境整治项目</t>
  </si>
  <si>
    <t>购买垃圾清运车2辆，垃圾箱20个，对松宏湾进行残垣断壁进行清理整治。</t>
  </si>
  <si>
    <t>该项目产权归集体所有，项目建成后，改善人居环境，受益群众519户1519人，其中脱贫户13户21人。</t>
  </si>
  <si>
    <t>2024年大昌汗镇石岩塔村人居环境整治项目</t>
  </si>
  <si>
    <t>垃圾箱13个，在山鸡塔组电厂路（长3.5公里）安装路灯70盏，新建水冲公共卫生间一座（坑位6个，男三女三）。</t>
  </si>
  <si>
    <t>该项目产权归集体所有，项目建成后，改善人居环境，保证夜间出行安全，受益群众486户1458人，其中脱贫户13户14人。</t>
  </si>
  <si>
    <t>2024年度孤山镇沙坬村沙洼自然村人居环境改造提升项目</t>
  </si>
  <si>
    <t>硬化入户道路2.5公里，为2公里村内道路安装高6米太阳能路灯50盏。</t>
  </si>
  <si>
    <t>产权归村集体所有。改善人居环境，提升群众幸福感，彻底解决农村脏乱现状，为105户281人（其中脱贫户2户3人）创造更好生活条件。</t>
  </si>
  <si>
    <t>2024年度孤山镇南关村高家湾自然村人居环境改造提升项目</t>
  </si>
  <si>
    <t>硬化入户道路1公里，为村内现有1.2公里道路配套安装高6米太阳能路灯30盏，道路两侧环境卫生整治。</t>
  </si>
  <si>
    <t>产权归村集体所有。改善人居环境，提升群众幸福感，彻底解决农村脏乱现状，为全村86户310人（其中脱贫户3户9人）改善生活条件。</t>
  </si>
  <si>
    <t>2024年度孤山镇南关村官园人居环境改造提升项目</t>
  </si>
  <si>
    <t>实施巷道硬化长260米，宽5米，厚0.15米。</t>
  </si>
  <si>
    <t>产权归村集体所有。改善村民人居环境，提升集镇美观度，为32户123人（其中脱贫户2户6人）创造更好生活环境，增加群众幸福感。</t>
  </si>
  <si>
    <t>2024年清水镇元峁村人居环境整治项目</t>
  </si>
  <si>
    <t>大寨沟入户道路硬化（长2400米、宽2.5米、厚0.15米）及对应巷道排水，配置20盏太阳能路灯（6米灯杆高、18V/100W太阳能板）；配置8个垃圾箱（2.07×1.45×1米）</t>
  </si>
  <si>
    <t>项目建成后，大寨沟52户160人，其中脱贫户1户1人出行更安全更方便，村容村貌有了更大的提升。</t>
  </si>
  <si>
    <t>2024年清水镇枣林峁村梁组、塔组人居环境整治项目</t>
  </si>
  <si>
    <t>新建梁、塔村2.5米宽、15公分厚水泥入户道路1500米，立铺砖入户路1500米，单边U型排水1500米，砖砌挡墙300米，太阳能路灯50盏，间隔50米、高度6米，配置5个垃圾箱（2.07×1.45×1米），整治残垣断壁，清运垃圾。</t>
  </si>
  <si>
    <t>产权归村集体所有。改善村民生产生活出行，提高村民生活幸福感受益群众71户181人，其中脱贫户（监测户）7户16人</t>
  </si>
  <si>
    <t>2024年田家寨镇兴旺庄村巷道硬化工程</t>
  </si>
  <si>
    <t>新铺设厚6公分沥青混凝土1200平米，人行道块料铺设960平米，安砌侧（平、缘）石410米，铺设DN300波纹排水管150米，新建雨水检查井4座，拆除原旧损路面。</t>
  </si>
  <si>
    <t>项目建成后产权属于兴旺庄村，可提升兴旺庄村基础设施和公共服务基础，改善人居环境，方便全村549户1482人（其中脱贫户45户106人）生活，提高群众满意度和幸福指数。</t>
  </si>
  <si>
    <t>2024年新民镇新民村路灯安装等人居环境整治工程</t>
  </si>
  <si>
    <t>在新民村刘家沟、麻家沟等7个自然村安装6m高太阳能路灯83盏。绿皮塑料垃圾桶80个。配置大号铁垃圾箱6个。并维修新民村污水处理站电缆、围墙。</t>
  </si>
  <si>
    <t>该项目用于2024年市级示范村建设，产权归集体所有。可改善村内人居环境和出行条件，提升群众幸福感。</t>
  </si>
  <si>
    <t>2024年新民镇新民村人居环境整治项目</t>
  </si>
  <si>
    <t>对田家畔村村容村貌进行整治。包括：购置垃圾箱2个，绿色垃圾桶8个，用砖硬化村内入户道路600米、维修排水沟、整治村内断壁残垣。</t>
  </si>
  <si>
    <t>该项目用于2024年市级示范村建设，实施后产权归集体所有，可美化居住环境，提高群众生活质量，。</t>
  </si>
  <si>
    <t>2024年三道沟镇新庙村红崖、百里墩自然村入户砖铺路建设项目</t>
  </si>
  <si>
    <t>在三道沟镇新庙村红崖、百里墩自然村新建入户砖铺路、院落砖铺，其中：平铺2500㎡、立砸4300㎡。</t>
  </si>
  <si>
    <t>该项目建成后产权归村集体所有，实施后方便群众出行和提升人居环境，预计有农户503户1419人受益，其中：脱贫户4户8人、监测户1户3人。</t>
  </si>
  <si>
    <t>2024年三道沟镇新庙村口则、新庙、李家梁自然村入户砖铺路建设项目</t>
  </si>
  <si>
    <t>在三道沟镇新庙村口则、新庙、李家梁自然村，新建入户砖铺路、院落砖铺，其中：平铺6000㎡、立砸2800㎡。</t>
  </si>
  <si>
    <t>2024年三道沟镇新庙村口则、新庙、李家梁、红崖、百里墩、马厂等自然村实施人居环境综合整治项目</t>
  </si>
  <si>
    <t>在三道沟镇新庙村口则、新庙、李家梁、红崖、百里墩、马厂等自然村实施人居环境综合整治项目，其中：砖改造圈舍约230㎡、菜园约2120㎡、杂果园约645㎡、污水排水管道260m。</t>
  </si>
  <si>
    <t>2024年三道沟镇新庙村人居环境综合整治项目</t>
  </si>
  <si>
    <t>在新庙村实施人居环境综合整治项目，其中：拆除圈舍20间、砖房33间、彩钢房85间、残檐断壁35处、清运建筑垃圾、植绿约150亩以及回填覆土4.2万方。</t>
  </si>
  <si>
    <t>项目实施后提升人居环境，预计有农户503户1419人受益，其中：脱贫户4户8人、监测户1户3人。</t>
  </si>
  <si>
    <t>2024年三道沟镇新庙村村容村貌整治项目</t>
  </si>
  <si>
    <t>在新庙、口则自然村新建道路硬化项目，其中：在新庙、口则自然村道路硬化2995平米，厚度15cm。</t>
  </si>
  <si>
    <t>2024年府谷县木瓜镇前梁村小沟则、桃树梁自然村人居环境综合整治项目</t>
  </si>
  <si>
    <t>拆除破旧厕所一座、猪圈一个；整治残垣断壁500平米；沿路砖砌挡墙1.5km，高0.8m。购置太阳能路灯50盏、垃圾桶80个。</t>
  </si>
  <si>
    <t>该项目用于2024年市级示范村建设，产权归集体所有。可改善村内人居环境，给村内独居老人、常住户及游客提供便利，改善村民居住环境。预计有110户290人受益，其中脱贫户1户2人。</t>
  </si>
  <si>
    <t>2024年府谷县木瓜镇前梁村阳坡自然村人居环境综合整治项目</t>
  </si>
  <si>
    <t>整治残垣断壁300平米；砖铺到户路1公里。宽3.5米，厚12公分；沿路砖砌挡墙800米，高0.8m。购置太阳能路灯30盏、垃圾桶55个。</t>
  </si>
  <si>
    <t>该项目用于2024年市级示范村建设，产权归集体所有。可改善村内人居环境，给村内独居老人、常住户及游客提供便利，改善村民居住环境。预计有63户176人受益，其中脱贫户1户1人。</t>
  </si>
  <si>
    <t>2024年度庙沟门镇贺家梁行政村东尧沟前后自然村人居环境整治提升项目</t>
  </si>
  <si>
    <t>计划在贺家梁行政村东尧沟前后两个自然村安装单头高6米太阳能路灯95盏；混凝土硬化村组入户道路共计1000米，宽3米，厚0.15米，波型护栏500米；新建垃圾池10座.</t>
  </si>
  <si>
    <t>产权归村集体所有。1.优化群众生活环境，82户275人受益；2.改善82户275人（其中脱贫户2户4人）的夜间出行照明，保障夜间出行安全；3.大力提升村内人居环境，垃圾集中收集处理。4.降低村主干道水毁风险，方便群众出行及农产品转运。</t>
  </si>
  <si>
    <t>2024年度庙沟门镇化皮沟村乡村振兴项目</t>
  </si>
  <si>
    <t>牛家梁自然村安装高6米路灯40盏、余家伙盘自然村安装高6米路灯27盏；人居环境整治巷道硬化3800平米；铺设上水管道300米，2寸PE管道上水管道300米，50寸波纹管300米；城垛式护栏260米长、高1.2米；防洪排水60米，铺设直径1.2米水泥套管30根。</t>
  </si>
  <si>
    <t>产权归村集体所有。1.优化群众生活环境，61户201人受益；2.改善61户201人的夜间出行照明，保障夜间出行安全；3.大力提升村内人居环境，污水集中排放处理。4.降低村主干道水毁风险。</t>
  </si>
  <si>
    <t>2024年度庙沟门镇化皮沟村化皮沟组人居环境提升整治项目</t>
  </si>
  <si>
    <t>计划在化皮沟行政村化皮沟自然村安装路灯单头6米高45盏，水泥硬化巷道900m，宽3.5m，厚0.15m。</t>
  </si>
  <si>
    <t>产权归村集体所有。1.美化群众生活环境，83户235人受益；2.改善83户235人的夜间出行照明，保障夜间出行安全；3.降低村主干道水毁风险。</t>
  </si>
  <si>
    <t>2024年度海则庙便民服务中心王大庄行政村人居环境整治项目</t>
  </si>
  <si>
    <t>1.在贺家畔新村，韩家峁村，王大庄村，高大庄村、刘大庄村、前花尔寨村、后花尔寨村，杨秋峁村村内安装123盏路灯，高6米。
2.在前花尔寨组、后花儿寨组、王大庄组、高大庄组、杨秋峁组砖砌入户路，总长2250米，宽2.5米，面积5625平方米。</t>
  </si>
  <si>
    <t>项目建成后，产权归村集体所有，改善生产生活出行以及照明条件，保障夜间出行安全。受益户数452户1181人，脱贫户20户40人，监测户3户9人。</t>
  </si>
  <si>
    <t>2024年度海则庙便民服务中心海则庙行政村人居环境整治项目</t>
  </si>
  <si>
    <t>1.在韩庄则一组、孙庄组砖砌入户道路，长1620米，宽2.5米，面积4050平方米。2.在西峁组、孙庄组、石道瓦组、寺畔组村内安装路灯143盏，高6米。</t>
  </si>
  <si>
    <t>项目建成后，产权归村集体所有，改善村内人居环境，生产生活出行条件，受益农户560户1736人，38户83人，监测户1户2人。</t>
  </si>
  <si>
    <t>2024年度古城镇沙圪坨村人居环境整治提升项目</t>
  </si>
  <si>
    <t>1.在杜家梁组到沙圪坨组路段（总长约4公里），以及村委会附近增设路灯，需6米高、单头70瓦、太阳能路灯100盏；2.在13个村民小组修建3m*3m*1.2m加盖加门砖混垃圾池20座；3.清理残垣断壁30处；4.清理垃圾约100吨；5.村庄平整约5000平米；6.加装围栏1500米。</t>
  </si>
  <si>
    <t>产权归村集体所有。1.保障591户1359人的出行安全（其中脱贫户和监测户21户30人）；2.改善村委会周边环境，便于村委会开展工作；3.改善村内人居环境，规范垃圾投放，养成村民良好生活习惯，591户1359人受益；4.清理残垣断壁保护群众生命财产安全；5.群众满意度≧95%；5.形成的资产归集体所有。</t>
  </si>
  <si>
    <t>2024年度古城镇五道河村人居环境整治提升项目</t>
  </si>
  <si>
    <t>实施史圪塄，五道河，四道河，绳匠沟，袁圪塄，峁上自然村道路亮化，安装6米高、单头70瓦、太阳能路灯120盏；新修绳匠沟垃圾厂进厂砖砌道路30米；新修绳匠沟垃圾场附近（红羊矸石滑落处）砖砌挡墙70米；对袁圪塄至绳匠沟1.91公里通村水泥路部分路段实施维修。</t>
  </si>
  <si>
    <t>1.项目建成后归集体所有，保障437户1036人的夜间出行安全（其中脱贫户和监测户15户19人）；2.保障村民出行条件，提升村庄基础设施建设；3.改善村内人居环境，方便垃圾处理；4.群众满意度≧95%。</t>
  </si>
  <si>
    <t>2024年府谷镇河塔村东山组人居环境整治项目</t>
  </si>
  <si>
    <t>挡水墙护栏3400米（37墙0.6米高），太阳能路灯H=6m 15盏，垃圾箱12个，垃圾车1辆，边坡治理570平米，挖弃土方1000立方米。</t>
  </si>
  <si>
    <t>建成后资产属于河塔村东山组，提升村呢人居环境，受益农户118户305人，受益脱贫户2户5人。</t>
  </si>
  <si>
    <t>2024年府谷镇河塔村王家墕组人居环境整治项目</t>
  </si>
  <si>
    <t>在王家墕道路建设挡水墙1700米（37墙0.6米高）。</t>
  </si>
  <si>
    <t>建成后资产属于河塔村王家焉墕，提升村呢人居环境，受益农户200户510人，受益脱贫户9户18人。</t>
  </si>
  <si>
    <t>2024年府谷镇桑园梁村人居环境建设项目</t>
  </si>
  <si>
    <t>硬化村内2500平米（15公分厚）（27.5万），底部24砖墙50公分（1万），上面安装护栏共70米（2万），配套垃圾箱10个（0.8万），垃圾车1辆（5万）。</t>
  </si>
  <si>
    <t>桑园梁村</t>
  </si>
  <si>
    <t>建成后资产属于桑园梁村，提升村内人居环境，受益农户349户977人，受益脱贫户15户28人。</t>
  </si>
  <si>
    <t>2024年府谷县木瓜镇木瓜村下元山自然村巷道硬化建设项目</t>
  </si>
  <si>
    <t>新修巷道硬化长1.45公里，宽2.2米，厚度0.12米。</t>
  </si>
  <si>
    <t>该项目产权归集体所有，巷道建成后有利于发展村集体经济，改善群众出行条件，惠及户数42户187人，其中脱贫户5户16人。</t>
  </si>
  <si>
    <t>2024年度古城镇古城村人居环境整治提升项目</t>
  </si>
  <si>
    <t>清理古城境内纳榆线两侧、前城组、后城组、前坪组内及通村路两侧垃圾约120吨，在前城组和后城组维修村内道路1公里，在前城组内建设挡土墙300米，后城组内建设挡土墙800米，购买车载垃圾箱20个。</t>
  </si>
  <si>
    <t>1.项目建成后归集体所有；2.项目完成后改善1309户3131人出行条件（其中脱贫户和监测户31户50人），提升村内基础设施建设，改善村庄人居环境；3.群众满意度≥95%。</t>
  </si>
  <si>
    <t>2024年府谷镇柳林碛村柳林碛新农村垃圾池建设项目</t>
  </si>
  <si>
    <t>在柳林碛新农村：1、新建2个6m*4m*1.5m的垃圾池，垃圾池开口预留3.5m；2、硬化已建成垃圾池土地100平米，硬化垃圾池灰板180平米。</t>
  </si>
  <si>
    <t>建成后资产归柳林碛自然村，为柳林碛新农村垃圾回收覆盖密度，方便村民垃圾的投放。提升垃圾池及周边环境的质量，防止垃圾和污水对土地造成污染。</t>
  </si>
  <si>
    <t>2024年府谷镇柳林碛村柳林碛组水井房及周边道路硬化项目</t>
  </si>
  <si>
    <t>在柳林碛水井房：1、水房院内混凝土硬化450平米，厚15厘米，灰板450平米，厚10厘米；2、水房外道路硬化420平米，厚18厘米，灰板420平米，厚10厘米；3、安设路牙45米;4高位水池起红砖墙30m*0.24m*1m。</t>
  </si>
  <si>
    <t>建成后资产归柳林碛自然村，提高柳林碛水房土地的承载能力和防尘能力，保持水房周边环境的整洁和卫生，方便人员出行。</t>
  </si>
  <si>
    <t>2024年府谷镇柳林碛村新农村平房区整治项目</t>
  </si>
  <si>
    <t>在柳林碛村：1、平房区前（九曲黄河阵东侧）硬化土地100m*9m*0.15m，做蓝砖护墙140m*0.24m*1m，做灰板100m*9m*0.1m；2、九曲黄河阵北侧做蓝砖墙400m*0.24m*1m。</t>
  </si>
  <si>
    <t>2024年府谷镇柳林碛道路挡土墙建设项目</t>
  </si>
  <si>
    <t>蓝砖挡土墙117.6方、红砖挡土墙217.44方、挡土石墙810方其中：1.玉帝楼广场至五虎山戏台起蓝砖挡土护墙90m*0.24m*1m；2.新村委前起挡土红砖墙60m*2m*0.37m;起挡土红砖墙12m*0.24m*3m；3.新村委门前起蓝砖挡土墙400m*0.24m*1m；4.王花女房后路挡土石墙60m*1m*7m；5.郭和则门前路起石头挡墙70m*0.8m*4m，水泥抹面200㎡；6.任候平旧院前起护路挡土石墙60m*0.6m*4m，回填土100方；7.王正正门前至杨买良门前路起红砖墙60m*0.37m*2m；8.苏彦清路到郝恩如挡土红砖墙50m*0.6m*4m。</t>
  </si>
  <si>
    <t>项目建成后资产归柳林碛自然村，通过修建护坡石墙，可以防止水土流失，保护道路和周边建筑的安全。</t>
  </si>
  <si>
    <t>2024年度黄甫镇山神堂行政村人居环境整治项目</t>
  </si>
  <si>
    <t>对山神堂行政村大宽坪村周边环境进行整治，建设村庄道路围栏1000米，村内安装路灯60盏，巷道硬化500米等。</t>
  </si>
  <si>
    <t>通过实施人居环境整治项目，受益农户435户1092人，其中脱贫户11户15人，监测户1户1人。进一步完善村庄公共服务设施，有效提高村庄公共服水平、提升村容村貌、改善人居环境，切实提高群众生活幸福感，助力宜居宜业和美乡村建设。</t>
  </si>
  <si>
    <t>2024年度老高川镇李家石畔村老郭公路段大榆树梁组人居环境整治</t>
  </si>
  <si>
    <t>李家石畔老郭公路段由众鑫集团至大榆树梁组约800米断壁残垣整治，对沿路修理厂集中整治，对道路两侧进行平整并铺设红砖，沿路农户房前新建防护挡墙约300米，安装32盏6米A字臂太阳能路灯并绿化。</t>
  </si>
  <si>
    <t>该项目产权归村集体所有，项目建成后，能够保障村内群众生活安全及出行条件，全村受益108户334人，其中脱贫户5户10人，不断提高其认可度、满意度、幸福感。</t>
  </si>
  <si>
    <t>2024年度老高川镇李家石畔村老郭公路段中圐圙组人居环境整治</t>
  </si>
  <si>
    <t>李家石畔老郭公路段由众鑫集团至中圐圙组约900米断壁残垣整治，对沿路修理厂集中整治，对道路两侧进行平整并铺设红砖，沿路农户房前新建防护挡墙约280米，安装34盏6米A字臂太阳能路灯并绿化。</t>
  </si>
  <si>
    <t>该项目产权归村集体所有，项目建成后，能够保障村内群众生活安全及出行条件，全村受益92户272人，其中脱贫户1户3人，不断提高其认可度、满意度、幸福感。</t>
  </si>
  <si>
    <t>2024年度黄甫镇大桃山行政村人居环境整治项目</t>
  </si>
  <si>
    <t>对秦寨上、下村周边环境进行整治，建设围栏1500米，对村内残垣断壁、房前屋后进行整治，安置大垃圾箱2个。</t>
  </si>
  <si>
    <t>该项目建成后产权归大桃山村，由大桃山村负责后期管护。通过实施人居环境整治项目，受益农户106户290人，其中脱贫户4户5人，监测户1户2人。进一步完善村庄公共服务设施，有效提高村庄公共服水平、提升村容村貌、改善人居环境，切实提高群众生活幸福感，助力宜居宜业和美乡村建设。</t>
  </si>
  <si>
    <t>2024年府谷镇王家畔村红焉组人居环境整治项目</t>
  </si>
  <si>
    <r>
      <rPr>
        <sz val="14"/>
        <rFont val="仿宋"/>
        <charset val="134"/>
      </rPr>
      <t>1、村内建设挡土砖及砖基础270m</t>
    </r>
    <r>
      <rPr>
        <sz val="14"/>
        <rFont val="宋体"/>
        <charset val="134"/>
      </rPr>
      <t>³</t>
    </r>
    <r>
      <rPr>
        <sz val="14"/>
        <rFont val="仿宋"/>
        <charset val="134"/>
      </rPr>
      <t>，需开挖土方100立方。2、水泥硬化垃圾箱场地150平米、水泥硬化路面132平米及相关配套人居环境清理工程。</t>
    </r>
  </si>
  <si>
    <t>建成后资产归王家畔村，受益农户45户128人，可以提升村内人居环境。</t>
  </si>
  <si>
    <t>2024年府谷镇王家畔村红焉组护墙建设项目</t>
  </si>
  <si>
    <t>广场南护坡石头全防护栏，均高0.9米，长度 260 米，预算16万元。</t>
  </si>
  <si>
    <t>建成后资产归王家畔村红焉组，受益农户45户128人，保障广场群众安全，提升村内人居环境。</t>
  </si>
  <si>
    <t>2024年度庙沟门镇庙沟门村人居环境整治项目</t>
  </si>
  <si>
    <t>计划建设砖砌护栏墙，高1.5米，长度130米；硬化村内道路宽6米，长60米，厚度0.18米；维修硬化村委会后巷道，宽10，长度330米，厚度0.18米；维修破损道路150米，宽1米，厚度0.18米，按照排水管道150米。</t>
  </si>
  <si>
    <t>该项目产权归集体所有，改善村容村貌、提升人居环境、提高群众满意度。受益565户1738人，其中脱贫户6户6人。</t>
  </si>
  <si>
    <t>2024年木瓜镇木瓜村巷道铺设项目</t>
  </si>
  <si>
    <t>砖铺巷道320米，宽3.5米，排水90米，高1.2米挡土墙100米。</t>
  </si>
  <si>
    <t>该项目产权归集体所有。可改善村容村貌，给村内常住户提供便利，解决雨天泥泞难走问题。预计有395户1268人受益，其中脱贫户6户9人。</t>
  </si>
  <si>
    <t>2024年府谷县木瓜镇木瓜村人居环境综合整治项目</t>
  </si>
  <si>
    <t>整治残垣断壁，包括拆除厕所12个、猪圈12个，老旧房屋5间，破旧土墙80米，清理杂物1500方，回填覆土2100平米，新建挡土墙496方等。</t>
  </si>
  <si>
    <t>该项目产权归集体所有。可改善村内人居环境，给村内独居老人、常住户及游客提供便利，改善村民居住环境。预计有395户1268人受益，其中脱贫户6户9人。</t>
  </si>
  <si>
    <t>2024年府谷县木瓜镇尧坬坡村人居环境综合整治项目</t>
  </si>
  <si>
    <t>购置240升到户垃圾桶40个，购置3立方垃圾中转箱20个。</t>
  </si>
  <si>
    <t>该项目产权归集体所有。可改善村内人居环境，给村内常住户提供便利，农村垃圾实现户收集、村转运，改善村民居住环境。预计有573户1605人受益，其中脱贫户24户46人。</t>
  </si>
  <si>
    <t>2024年度碛塄农业园区郝家寨三个自然村人居环境整治</t>
  </si>
  <si>
    <t>三个自然村进行人居环境整治，购置运输型铁质垃圾箱15个，12方吸污车一台，垃圾运输车一辆，新农村墙面美化350平米，大寨、折家河、郝家寨房前屋后卫生环境整治，村内沿路两侧上木头栅栏以及绿化，民俗村墙面美化，大寨村入口处打造三处拱水坝，清理村委门前河道垃圾及淤泥。</t>
  </si>
  <si>
    <t>产权归村集体所有，改善郝家寨村人居环境及旅游环境，改善农村生产生活及投资环境。受益403户1036人，其中脱贫户13户23人。</t>
  </si>
  <si>
    <t>2024年度碛塄农业园区柳洼村人居环境整治项目</t>
  </si>
  <si>
    <t>柳洼村道路两侧人居环境整治，村内道路硬化866米，宽3米，厚15厘米水泥混凝土路面，道路两侧设置240砖墙650米，高度0.5-1.8米，排水沟80米；各自然村配套大型勾壁式垃圾箱18个，240升垃圾桶80个，手推铁质环卫垃圾车80个。</t>
  </si>
  <si>
    <t>2024年度武家庄镇武家庄行政村红崖峁自然村人居环境整治项目</t>
  </si>
  <si>
    <t>对红崖峁自然村人居环境进行整治，拆除残垣断壁1000米、废弃猪窝6个，并对路域卫生整治等。</t>
  </si>
  <si>
    <t>该项目产权归村集体所有，项目建成后进一步提升红崖峁自然村村容村貌，有助于巩固市级乡村振兴示范村创建成果，受益农户486户1436人，其中脱贫户19户40人，监测对象2户4人。</t>
  </si>
  <si>
    <t>2024年三道沟镇三道沟村行政村人居环境、村容村貌综合整治项目</t>
  </si>
  <si>
    <t>在三道沟行政村实施人居环境、村容村貌综合整治项目，其中：1.巷道硬化面积1800㎡，长120m，宽15m，厚度15公分。2.墙体维修面积660㎡。</t>
  </si>
  <si>
    <t>产权归村集体所有。此项目建成后方便群众出行和提升人居环境。预计有农户427户1044人受益，其中：脱贫户7户14人。</t>
  </si>
  <si>
    <t>2024年度孤山镇庙山村刘官畔自然村人居环境改造提升项目</t>
  </si>
  <si>
    <t>硬化提升改造现有入户道路800米，厚0.15米，宽3米。</t>
  </si>
  <si>
    <t>庙山村</t>
  </si>
  <si>
    <t>产权归村集体所有。改善人居环境，提升群众幸福感，解决农村脏乱现状，为全村73户223人改善生活条件。</t>
  </si>
  <si>
    <t>2024年府谷镇西山村人居环境整治项目</t>
  </si>
  <si>
    <t>沿黄路入村路挡土石墙）：铺底2米，收顶0.8米，长410米；再西山村新安装6米高太阳能路灯6盏，杨家沟学校旁新建挡土石墙：铺底2米，收顶0.8米，长20米；新建45平米公厕1座</t>
  </si>
  <si>
    <t>项目建成后资产归西山村，受益脱贫户13户22人，受益农户342户969人，可以极大提升村内人居环境</t>
  </si>
  <si>
    <t>2024年度碛塄农业园区碛塄村人居环境整治项目</t>
  </si>
  <si>
    <t>对碛塄村村内人居环境进行整治提升，清理整治残垣断壁，拆除废旧厕所及猪圈8个、新建卫生厕所，对1000米村内巷道道路两侧清理平整，清理垃圾1000方，回填覆土10000平米。新建挡土及防护石墙及砖墙600多米。</t>
  </si>
  <si>
    <t>产权归集体所有，完善基础设施，方便生产生活。受益群众443户1123人，其中脱贫户及监测户9户18人。</t>
  </si>
  <si>
    <t>2024年度碛塄农业园区碛塄村村内道路硬化项目</t>
  </si>
  <si>
    <t>村内道路硬化500米，宽3米，厚15厘米水泥混凝土路面，配套边沟、路基平整等。两馆前活动广场硬化约1400平方米，二道街巷道砖路塌陷修复2处20平方米。</t>
  </si>
  <si>
    <t>2024年度碛塄农业园区碛塄村村容村貌提升项目</t>
  </si>
  <si>
    <t>碛塄村原政府旧址、张家大院及周边残垣断壁进行2200平方米修复整治，特色围栏约500米，打造露营基地，配套相关设施，发展农旅项目。</t>
  </si>
  <si>
    <t>产权归集体所有，完善基础设施，方便生产生活。吸引外来游客，带动村域乡村旅游。受益群众443户1123人，其中脱贫户及监测户9户18人。</t>
  </si>
  <si>
    <t>2024年府谷镇柳林碛人居环境整治项目</t>
  </si>
  <si>
    <t>对村内15处垃圾坡进行清理整治，村内主干道5公里沿线的树木修剪，建筑垃圾生活垃圾及杂草集中清理。</t>
  </si>
  <si>
    <t>建成后资产归柳林碛自然村，受益农户220户562人，受益脱贫户9户11人，可以提升村内人居环境。</t>
  </si>
  <si>
    <t>2024年府谷镇柳林碛村柳林碛组挡土墙建设项目</t>
  </si>
  <si>
    <t>挡土墙石墙400方及挡土砖墙1000方，含基础开挖等配套项目</t>
  </si>
  <si>
    <t>2024年三道沟镇三道沟村（集镇）太阳能路灯建设项目</t>
  </si>
  <si>
    <t>在三道沟村安装太阳能路灯167盏,路灯高8米。</t>
  </si>
  <si>
    <t>该项目建成后产权归村集体所有，实施后方便群众出行。预计有农户3021户8191人受益，其中：脱贫户56户127人，监测户3户10人。</t>
  </si>
  <si>
    <t>2024年度古城镇油房坪村人居环境综合整治工程</t>
  </si>
  <si>
    <t>在全村10公里通组路上安装太阳能路灯280盏，路灯规格为6米高、单头70瓦太阳能路灯对油房坪村进行亮化。</t>
  </si>
  <si>
    <t>1.项目建成后归油房坪行政村集体所有。2.美化群众生活环境，284户群众受益；3.改善284户1160人（其中脱贫户、监测户11户21人）的出行安全；4.群众满意度≧95%。</t>
  </si>
  <si>
    <t>2024年度庙沟门镇西尧沟村人居环境提升整治项目</t>
  </si>
  <si>
    <t>计划在西尧沟行政村刘公梁、刘家梁、沙湾自然村按照单头6米高规格路灯50盏。</t>
  </si>
  <si>
    <t>西尧沟村</t>
  </si>
  <si>
    <t>产权归村集体所有。1.美化群众生活环境，120户386人（脱贫户4户4人）受益；2.120户386人（脱贫户4户4人）的夜间出行照明，保障夜间出行安全。</t>
  </si>
  <si>
    <t>2024年清水镇小字村小字梁组村人居环境整治项目</t>
  </si>
  <si>
    <t>小字村小字梁至小字沟组2公里通村路主干道安装太阳能路灯（6米灯杆高、18V/100W太阳能板）100盏，安装间隔距离50米。</t>
  </si>
  <si>
    <t>产权为集体所有，改善村人居环境，提升370户1084人（脱贫户14户25人、监测户2户6人）生活品质</t>
  </si>
  <si>
    <t>2024年清水镇青春峁村人居环境整治项目</t>
  </si>
  <si>
    <t>青春峁一二三四村配置70盏太阳能路灯（6米灯杆高、18V/100W太阳能板）；配置11个垃圾箱（2.07×1.45×1米）</t>
  </si>
  <si>
    <t>产权归村集体所有。提升全村167户425人，其中脱贫户9户18人生产生活条件，提高村民生活幸福感。</t>
  </si>
  <si>
    <t>2024年新民镇打井塔村路灯安装项目</t>
  </si>
  <si>
    <t>计划在老榆府路至马营山一村、二村、三村共计3公里，间隔50米安装6m高太阳能路灯60盏。在东沟路至小圪垯自然村和东沟路至刘家庙自然村共计4公里，间隔50米安装6m高太阳能路灯80盏。</t>
  </si>
  <si>
    <t>该项目实施后产权归集体所有，可美化居住环境，提高群众生活质量，方便夜间出行。</t>
  </si>
  <si>
    <t>2024年度老高川镇老高川村人居环境改善项目</t>
  </si>
  <si>
    <t>为老高川村石岩畔组常住农户（20盏）、赵峁梁组300米通组路（8盏）、500米巷道（12盏）常住户（30盏）、神木伙盘组常住农户（15盏）300米巷道（8盏）、齐家焉组常住农户（25盏）400米巷道（11盏）、大树塔常住农户（30盏）五个自然村安装共计160盏6米A字臂太阳能路灯。</t>
  </si>
  <si>
    <t>该项目产权归村集体所有，项目建成后，能够保障村内群众夜间出行安全，全村受益200户598人，其中脱贫户4户9人，不断提高其认可度、满意度。</t>
  </si>
  <si>
    <t>2024年度老高川镇李家石畔村人居环境整治项目</t>
  </si>
  <si>
    <t>1、在李家石畔村中圐圙组2000米村组道路安装50盏6米A字臂太阳能路灯。
2、在李家石畔硬地墕组至大榆树梁组1000米的道路上安装25盏6米A字臂太阳能路灯。</t>
  </si>
  <si>
    <t>该项目产权归村集体所有，项目建成后，能够保障村内群众夜间安全出行，全村受益202户590人，其中脱贫户7户14人，不断提高其认可度、满意度、幸福感。</t>
  </si>
  <si>
    <t>2024年度老高川镇长方梁村人居环境改善项目</t>
  </si>
  <si>
    <t>为长方梁村字峁组常住户（22盏）、杜家伙盘组（10盏）、朱太沟组（34户）、伙赖沟组新农村400米道路（16盏）、石尧店组巷道（3盏）、长方梁组（15盏）6个自然村安装共计100盏6米A字臂太阳能路灯。</t>
  </si>
  <si>
    <t>该项目产权归村集体所有，项目建成后，能够保障村内群众夜间出行安全，全村受益262户779人，其中脱贫户3户6人，不断提高其认可度、满意度。</t>
  </si>
  <si>
    <t>2024年度老高川镇丁家伙盘村人居环境改善项目</t>
  </si>
  <si>
    <t>为丁家伙盘村前沟组广场（6盏）1.2公里巷道（30盏)。乔家梁组500米巷道（13盏）、上梁组1.5公里道路（30盏）500米巷道（15盏）、下梁组200米巷道（6盏）4个自然村安装6米A字臂太阳能路灯。</t>
  </si>
  <si>
    <t>该项目产权归村集体所有，项目建成后，能够保障村内群众夜间出行安全，全村受益100户328人，其中脱贫户2户2人，不断提高其认可度、满意度。</t>
  </si>
  <si>
    <t>2024年度麻镇便民服务中心埝墕村通村道路太阳能路灯安装工程项目</t>
  </si>
  <si>
    <t>在埝墕村6个自然村内安装照明设施，安装范围全长10公里，生产生活通村道路上安装6米高太阳能路灯115盏。</t>
  </si>
  <si>
    <t>产权归村集体所有。改善341户875人（其中脱贫户36户89人，监测户2户3人）生产生活出行便利；提高居民生活舒适度。</t>
  </si>
  <si>
    <t>2024年度碛塄农业园区碛塄村通村道路路灯工程</t>
  </si>
  <si>
    <t>沙角自然村、张家焉自然村通村道路安装6米高路灯100盏；碛塄自然村郭家沟、社科沟、柳树沟安装6米高路灯60盏。</t>
  </si>
  <si>
    <t>产权归集体所有，完善基础设施建设，提高群众出行便捷度，改善人居环境，提升群众满意度。受益群众443户1123人，其中脱贫户10户19人。</t>
  </si>
  <si>
    <t>2024年田家寨镇兴旺庄村路灯工程</t>
  </si>
  <si>
    <t>在碑好湾组、祁家畔组安装太阳能路灯80盏。（规格型号为灯杆高6米，80AH锂电池,灯为80wLED光源，太阳能面板功率100W）</t>
  </si>
  <si>
    <t>项目建成后产权属于兴旺庄村，有效提高105户297人（其中脱贫户10户29人）出行条件，改善村内居住环境，提高群众满意度。</t>
  </si>
  <si>
    <t>2024年田家寨镇李岔村路灯工程</t>
  </si>
  <si>
    <t>在常峁梁组、朱家峁一二三村、王岳家庄组、王家沟组村内实施道路亮化工程，安装太阳能路灯140盏。（规格型号为灯杆高6米，80AH锂电池,灯为80wLED光源，太阳能面板功率100W）</t>
  </si>
  <si>
    <t>项目建成后产权属于李岔村，有效提高258户675人（其中脱贫户30户90人）出行条件，改善村内居住环境，提高群众满意度。</t>
  </si>
  <si>
    <t>2024年田家寨镇水口村路灯工程</t>
  </si>
  <si>
    <t>在水口组、寨峁组新安装路灯52盏（规格型号为灯杆高6米，80AH锂电池,灯为80wLED光源，太阳能面板功率100W）</t>
  </si>
  <si>
    <t>水口村</t>
  </si>
  <si>
    <t>项目建成后产权水口村，由两个组分别负责管护。可美化乡村环境，改善村内人居环境，方便102户265人（其中脱贫户2户2人）晚上活动，给村民提供便利，提高群众满意度，改善村民居住环境。</t>
  </si>
  <si>
    <t>2024年田家寨镇王沙峁村路灯工程</t>
  </si>
  <si>
    <t>在柏家焉组安装20盏，寨山组安装安装20盏，来安寨组安装30盏，房塔组安装30盏，武进则组安装安装20盏。（规格型号为灯杆高6米，80AH锂电池,灯为80wLED光源，太阳能面板功率100W）</t>
  </si>
  <si>
    <t>王沙峁村</t>
  </si>
  <si>
    <t>项目建成后产权属于王沙峁村，可有效解决396户1046人（其中脱贫户31户80人）夜间出行难问题，提高人民群众满意度，改善提升人居环境质量。</t>
  </si>
  <si>
    <t>2024年度武家庄镇武家庄行政村小庄则自然村路灯项目</t>
  </si>
  <si>
    <t>小庄则自然村道路3000米安装3米太阳能路灯60盏。</t>
  </si>
  <si>
    <t>产权归村集体所有。方便99户300名村民生产出行，其中脱贫户4户10人，完善基础设施建设。</t>
  </si>
  <si>
    <t>2024年度海则庙便民服务中心孙崖尧行政村路灯建设项目</t>
  </si>
  <si>
    <t>在淡寨村、前焉村、下焉村、刘家粱村、当村村内安装路灯120盏，高6米。</t>
  </si>
  <si>
    <t>项目建成后，产权归集体所有，改善村内道路照明条件，保障夜间出行安全，受益户数315户850人，脱贫户12户25人，监测户1户1人。</t>
  </si>
  <si>
    <t>2024年府谷镇柳林碛村柳林碛组路灯建设项目</t>
  </si>
  <si>
    <r>
      <rPr>
        <sz val="14"/>
        <rFont val="仿宋"/>
        <charset val="134"/>
      </rPr>
      <t>柳林碛自然村约</t>
    </r>
    <r>
      <rPr>
        <strike/>
        <sz val="14"/>
        <rFont val="仿宋"/>
        <charset val="134"/>
      </rPr>
      <t>10</t>
    </r>
    <r>
      <rPr>
        <sz val="14"/>
        <rFont val="仿宋"/>
        <charset val="134"/>
      </rPr>
      <t>公里道路需安装</t>
    </r>
    <r>
      <rPr>
        <strike/>
        <sz val="14"/>
        <rFont val="仿宋"/>
        <charset val="134"/>
      </rPr>
      <t>200</t>
    </r>
    <r>
      <rPr>
        <sz val="14"/>
        <rFont val="仿宋"/>
        <charset val="134"/>
      </rPr>
      <t>盏太阳能路灯，高6米。</t>
    </r>
  </si>
  <si>
    <t>项目建成后所有权为柳林碛自然村，方便村民夜间出行，提升村民幸福感、安全感，受益农户220户562人，受益脱贫户9户11人。</t>
  </si>
  <si>
    <t>2024年府谷镇桑园梁村桑园梁组路灯建设项目</t>
  </si>
  <si>
    <t>在4公里道路安装太阳能路灯50盏，高6米。</t>
  </si>
  <si>
    <t>建成后资产属于桑园梁村，保障村民出行安全，受益农户126户344人，受益脱贫户6户12人。</t>
  </si>
  <si>
    <t>2024年麻镇便民服务中心坪伦墩村贾家湾自然村至韩家墕自然村路灯安装工程</t>
  </si>
  <si>
    <t>从贾家湾自然村至韩家墕自然村路段3.5公里安装4米高单头路灯20盏、6米高单头路灯60盏。</t>
  </si>
  <si>
    <t>2024年度庙沟门镇石峡梁村人居环境提升整治项目</t>
  </si>
  <si>
    <t>计划在村委会到周边通村道路6公里路段上安装路6米单头路灯160盏。</t>
  </si>
  <si>
    <t>该项目产权归集体所有，1.提升人居环境、美化群众生活环境，393户1064人受益；2.夜间出行照明，保障夜间出行安全。</t>
  </si>
  <si>
    <t>2024年度碛塄农业园区郝家寨村村道太阳能路灯安装以及更换维修项目</t>
  </si>
  <si>
    <t>郝折路花坞至折家河村道新安装太阳能路灯100盏。更换维修2013年安装的太阳能路灯灯头80盏。</t>
  </si>
  <si>
    <t>产权归村集体所有，改善郝家寨村人居环境及群众出行条件，改善农村生产生活及投资环境。</t>
  </si>
  <si>
    <t>2024年木瓜镇木瓜村袁山组道路路灯项目</t>
  </si>
  <si>
    <t>村组道路长3公里，需要购置高6米的太阳能路灯60盏。</t>
  </si>
  <si>
    <t>该项目产权归集体所有。可改善村容村貌，给村内常住户提供便利，解决夜晚出行困难问题。预计有62户220人受益，其中脱贫户4户10人。</t>
  </si>
  <si>
    <t>2024年度武家庄镇天洼行政村高家洼自然村路灯项目</t>
  </si>
  <si>
    <t>在高家洼自然村安装6米高太阳能路灯18盏。</t>
  </si>
  <si>
    <t>天洼村</t>
  </si>
  <si>
    <t>项目建成后产权属于村集体，有效改善87户219人（其中脱贫户4户6人）安全出行条件。</t>
  </si>
  <si>
    <t>2024年府谷县新府山易地扶贫搬迁集中安置点就业培训基地建设项目</t>
  </si>
  <si>
    <t>在新府山易地搬迁安置点4号小区设立就业培训基地。打造教学场地3万元；提供投影仪、电脑及桌椅讲座设备2.5万，购买烘焙操作设备2万元，购买家政设备2万元，购买月嫂、育儿嫂培训设备2万元。为易地搬迁群众200余人次定期开设家政、月嫂、烘焙、面点、插花等技能培训。培训合格后，发结业证书，并推荐给家政公司、蛋糕店、饭店等就职。</t>
  </si>
  <si>
    <t>培训200人次以上，提升群众就业技能，增加就业岗位。</t>
  </si>
  <si>
    <t>2024年度雨露计划项目</t>
  </si>
  <si>
    <t>落实雨露计划政策，计划补助学生134名，每生每年补助3000元。</t>
  </si>
  <si>
    <t>为就读中高职和技工院校的脱贫户和监测户家庭134名学生提供补助，减轻脱贫家庭教育负担，提高两后生就业能力，拓宽就业渠道。受益134户134人，全部为脱贫户及监测户。</t>
  </si>
  <si>
    <t>2024年度府谷县脱贫户家庭经济困难幼儿生活补助项目</t>
  </si>
  <si>
    <t>困难幼儿生活补助（750元/人/年），计划补助44人。</t>
  </si>
  <si>
    <t>为44名脱贫家庭幼儿进行生活补助，每人每年补助750元，减轻脱贫学生家庭教育负担。</t>
  </si>
  <si>
    <t>教体局</t>
  </si>
  <si>
    <t>2024年度府谷县义务教育脱贫户家庭寄宿生和非寄宿生生活补助和营养改善计划补助项目</t>
  </si>
  <si>
    <t>义务教育段寄宿生生活补助（小学1000元/人/年；初中1250元/人/年）、非寄宿生生活补助（小学500元/人/年；初中625元/人/年）营养餐(1000元/人/年)，计划补助370人。</t>
  </si>
  <si>
    <t>为370名脱贫家庭学生进行生活补助和营养餐补助，减轻脱贫学生家庭教育负担，保障义务教育顺利完成。</t>
  </si>
  <si>
    <t>2024年度府谷县脱贫户家庭学生高中、中职助学金资助项目</t>
  </si>
  <si>
    <t>高中助学金（2000元/人/年）、中职国家助学金（2000元/人/年），计划补助120人。</t>
  </si>
  <si>
    <t>为120名脱贫家庭学生进行高中、中职国家助学金资助，每人每年补助2000元,减轻脱贫学生家庭教育负担。</t>
  </si>
  <si>
    <t>2024年府谷县特殊人群参保代缴</t>
  </si>
  <si>
    <t>计划为2092户5860人特殊人群安排参保代缴费用</t>
  </si>
  <si>
    <t>计划为5860特殊人群安排参保代缴费用</t>
  </si>
  <si>
    <t>医保局</t>
  </si>
  <si>
    <t>2024年府谷县特殊人群医疗救助项目</t>
  </si>
  <si>
    <t>计划为2092户5860人特殊人群提供医疗救助</t>
  </si>
  <si>
    <t>计划为5860特殊人群提供医疗救助，解决看病住院费用高的问题。</t>
  </si>
  <si>
    <t>2024年府谷县农村最低生活保障项目</t>
  </si>
  <si>
    <t>保障全县符合农村低保条件的969户1968名建档立卡脱贫户、监测户基本生活。</t>
  </si>
  <si>
    <t>民政局</t>
  </si>
  <si>
    <t>2024年府谷县农村特困供养项目</t>
  </si>
  <si>
    <t>保障全县符合农村特困供养条件的766户1968名建档立卡脱贫户、监测户的生活。</t>
  </si>
  <si>
    <t>保障全县符合农村特困供养条件的797户799名建档立卡脱贫户、监测户的生活。</t>
  </si>
  <si>
    <t>2024年府谷县临时救助项目</t>
  </si>
  <si>
    <t>解决300户符合临时救助条件的建档立卡脱贫户、监测户的生活问题。</t>
  </si>
  <si>
    <t>解决300户750名符合临时救助条件的建档立卡脱贫户、监测户的生活问题。</t>
  </si>
  <si>
    <t>2024年项目管理费</t>
  </si>
  <si>
    <t>用于项目前期调研论证、勘测设计、招投标代理、工程监理、工程管理、工程决算等费用。</t>
  </si>
  <si>
    <t>规范衔接资金项目管理，提高资金使用效益。受益76237户213150人，其中脱贫户3115户6146人，监测对象215户503人。</t>
  </si>
  <si>
    <t>2024年监测对象应急帮扶项目</t>
  </si>
  <si>
    <t>按照防返贫动态监测帮扶要求，对动态新增监测对象落实开发式帮扶措施，对符合条件的监测对象开展小额信贷贴息、产业奖补、雨露计划、跨县就业交通补助等产业就业措施。计划帮扶监测对象50户。</t>
  </si>
  <si>
    <t>守牢不发生规模性返贫底线，及时落实监测对象帮扶项目，不断巩固脱贫成果。预计收益监测对象50户120人。</t>
  </si>
  <si>
    <t>2024年府谷县生态效益补偿金项目</t>
  </si>
  <si>
    <t>2024年生态效益补偿金涉及12个乡镇，脱贫户149户197人，生态效益补偿面积2477.84亩，计划兑付资金3.96万元。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</si>
</sst>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44">
    <font>
      <sz val="11"/>
      <color theme="1"/>
      <name val="宋体"/>
      <charset val="134"/>
      <scheme val="minor"/>
    </font>
    <font>
      <sz val="12"/>
      <name val="宋体"/>
      <charset val="134"/>
    </font>
    <font>
      <sz val="14"/>
      <name val="宋体"/>
      <charset val="134"/>
      <scheme val="minor"/>
    </font>
    <font>
      <sz val="11"/>
      <name val="宋体"/>
      <charset val="134"/>
      <scheme val="minor"/>
    </font>
    <font>
      <sz val="16"/>
      <name val="黑体"/>
      <charset val="134"/>
    </font>
    <font>
      <sz val="20"/>
      <name val="方正小标宋简体"/>
      <charset val="134"/>
    </font>
    <font>
      <sz val="14"/>
      <name val="黑体"/>
      <charset val="134"/>
    </font>
    <font>
      <sz val="14"/>
      <name val="仿宋"/>
      <charset val="134"/>
    </font>
    <font>
      <sz val="14"/>
      <color theme="1"/>
      <name val="仿宋"/>
      <charset val="134"/>
    </font>
    <font>
      <sz val="14"/>
      <name val="仿宋"/>
      <charset val="0"/>
    </font>
    <font>
      <i/>
      <sz val="14"/>
      <name val="仿宋"/>
      <charset val="134"/>
    </font>
    <font>
      <sz val="18"/>
      <name val="方正小标宋简体"/>
      <charset val="134"/>
    </font>
    <font>
      <b/>
      <sz val="12"/>
      <name val="宋体"/>
      <charset val="134"/>
    </font>
    <font>
      <sz val="12"/>
      <name val="宋体"/>
      <charset val="134"/>
      <scheme val="minor"/>
    </font>
    <font>
      <sz val="16"/>
      <color theme="1"/>
      <name val="黑体"/>
      <charset val="134"/>
    </font>
    <font>
      <sz val="12"/>
      <color theme="1"/>
      <name val="宋体"/>
      <charset val="134"/>
      <scheme val="minor"/>
    </font>
    <font>
      <sz val="18"/>
      <color theme="1"/>
      <name val="方正小标宋简体"/>
      <charset val="134"/>
    </font>
    <font>
      <b/>
      <sz val="12"/>
      <color theme="1"/>
      <name val="宋体"/>
      <charset val="1"/>
      <scheme val="minor"/>
    </font>
    <font>
      <b/>
      <sz val="12"/>
      <color theme="1"/>
      <name val="宋体"/>
      <charset val="134"/>
      <scheme val="minor"/>
    </font>
    <font>
      <sz val="12"/>
      <color theme="1"/>
      <name val="黑体"/>
      <charset val="134"/>
    </font>
    <font>
      <sz val="12"/>
      <color theme="1"/>
      <name val="宋体"/>
      <charset val="1"/>
      <scheme val="min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4"/>
      <name val="宋体"/>
      <charset val="134"/>
    </font>
    <font>
      <strike/>
      <sz val="14"/>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29" fillId="0" borderId="0" applyNumberFormat="0" applyFill="0" applyBorder="0" applyAlignment="0" applyProtection="0">
      <alignment vertical="center"/>
    </xf>
    <xf numFmtId="0" fontId="30" fillId="4" borderId="10" applyNumberFormat="0" applyAlignment="0" applyProtection="0">
      <alignment vertical="center"/>
    </xf>
    <xf numFmtId="0" fontId="31" fillId="5" borderId="11" applyNumberFormat="0" applyAlignment="0" applyProtection="0">
      <alignment vertical="center"/>
    </xf>
    <xf numFmtId="0" fontId="32" fillId="5" borderId="10" applyNumberFormat="0" applyAlignment="0" applyProtection="0">
      <alignment vertical="center"/>
    </xf>
    <xf numFmtId="0" fontId="33" fillId="6" borderId="12" applyNumberFormat="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41" fillId="0" borderId="0"/>
    <xf numFmtId="0" fontId="41" fillId="0" borderId="0"/>
  </cellStyleXfs>
  <cellXfs count="75">
    <xf numFmtId="0" fontId="0" fillId="0" borderId="0" xfId="0">
      <alignment vertical="center"/>
    </xf>
    <xf numFmtId="0" fontId="1" fillId="0" borderId="0" xfId="0" applyFont="1" applyFill="1" applyBorder="1">
      <alignment vertical="center"/>
    </xf>
    <xf numFmtId="0" fontId="2" fillId="0" borderId="0" xfId="0" applyFont="1" applyFill="1">
      <alignment vertical="center"/>
    </xf>
    <xf numFmtId="0" fontId="1" fillId="0" borderId="0" xfId="0" applyFont="1" applyFill="1">
      <alignment vertical="center"/>
    </xf>
    <xf numFmtId="0" fontId="3" fillId="0" borderId="0" xfId="0" applyFont="1" applyFill="1">
      <alignmen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NumberFormat="1" applyFont="1" applyFill="1" applyAlignment="1">
      <alignment horizontal="center"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left" vertical="center" wrapText="1"/>
    </xf>
    <xf numFmtId="0" fontId="3"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9"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10" fillId="0" borderId="1" xfId="0" applyFont="1" applyFill="1" applyBorder="1" applyAlignment="1" applyProtection="1">
      <alignment horizontal="center" vertical="center" wrapText="1"/>
      <protection locked="0"/>
    </xf>
    <xf numFmtId="0"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3" fillId="0" borderId="0" xfId="0" applyFont="1" applyFill="1" applyBorder="1" applyAlignment="1">
      <alignmen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13" fillId="0" borderId="0" xfId="0" applyFont="1" applyFill="1" applyAlignment="1">
      <alignment horizontal="center" vertical="center"/>
    </xf>
    <xf numFmtId="0" fontId="1" fillId="0"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horizontal="center" vertical="center"/>
    </xf>
    <xf numFmtId="0" fontId="15" fillId="2" borderId="0" xfId="0" applyFont="1" applyFill="1" applyAlignment="1">
      <alignment vertical="center"/>
    </xf>
    <xf numFmtId="0" fontId="16" fillId="2" borderId="0" xfId="0" applyFont="1" applyFill="1" applyAlignment="1">
      <alignment horizontal="center" vertical="center" wrapText="1"/>
    </xf>
    <xf numFmtId="0" fontId="0" fillId="2" borderId="0" xfId="0" applyFont="1" applyFill="1" applyBorder="1" applyAlignment="1">
      <alignment horizontal="right" vertical="center"/>
    </xf>
    <xf numFmtId="0" fontId="0" fillId="2" borderId="0" xfId="0" applyFont="1" applyFill="1" applyBorder="1" applyAlignment="1">
      <alignment horizontal="center" vertical="center"/>
    </xf>
    <xf numFmtId="0" fontId="16" fillId="2" borderId="0" xfId="0" applyFont="1" applyFill="1" applyBorder="1" applyAlignment="1">
      <alignment horizontal="center" vertical="center" wrapText="1"/>
    </xf>
    <xf numFmtId="0" fontId="0" fillId="2" borderId="0" xfId="0" applyFont="1" applyFill="1" applyAlignment="1">
      <alignment horizontal="center" vertical="center"/>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1" xfId="0" applyFont="1" applyFill="1" applyBorder="1" applyAlignment="1">
      <alignment horizontal="center" vertical="center"/>
    </xf>
    <xf numFmtId="0" fontId="19" fillId="2" borderId="3"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vertical="center" wrapText="1"/>
    </xf>
    <xf numFmtId="0" fontId="15" fillId="2" borderId="1" xfId="0" applyFont="1" applyFill="1" applyBorder="1" applyAlignment="1">
      <alignment horizontal="center" vertical="center"/>
    </xf>
    <xf numFmtId="0" fontId="15" fillId="2" borderId="1" xfId="0" applyFont="1" applyFill="1" applyBorder="1" applyAlignment="1">
      <alignment vertical="center"/>
    </xf>
    <xf numFmtId="0" fontId="21" fillId="2" borderId="1" xfId="0" applyFont="1" applyFill="1" applyBorder="1" applyAlignment="1">
      <alignment vertical="center"/>
    </xf>
    <xf numFmtId="0" fontId="15" fillId="2" borderId="1" xfId="0" applyFont="1" applyFill="1" applyBorder="1" applyAlignment="1">
      <alignment horizontal="left" vertical="center"/>
    </xf>
    <xf numFmtId="0" fontId="15" fillId="2" borderId="1" xfId="0" applyNumberFormat="1" applyFont="1" applyFill="1" applyBorder="1" applyAlignment="1">
      <alignment horizontal="center" vertical="center"/>
    </xf>
    <xf numFmtId="0" fontId="15" fillId="2" borderId="1" xfId="0" applyFont="1" applyFill="1" applyBorder="1" applyAlignment="1">
      <alignment horizontal="left" vertical="center" wrapText="1"/>
    </xf>
    <xf numFmtId="0" fontId="21" fillId="2" borderId="1" xfId="0" applyFont="1" applyFill="1" applyBorder="1" applyAlignment="1">
      <alignment vertical="center" wrapText="1"/>
    </xf>
    <xf numFmtId="0" fontId="20" fillId="2" borderId="1"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3" xfId="50"/>
  </cellStyles>
  <dxfs count="2">
    <dxf>
      <font>
        <color rgb="FFD73434"/>
      </font>
      <fill>
        <patternFill patternType="solid">
          <bgColor rgb="FFFFF2CC"/>
        </patternFill>
      </fill>
    </dxf>
    <dxf>
      <font>
        <b val="0"/>
        <color rgb="FFFF6600"/>
      </font>
      <fill>
        <patternFill patternType="solid">
          <bgColor rgb="FFFFF2CC"/>
        </patternFill>
      </fill>
    </dxf>
  </dxfs>
  <tableStyles count="0" defaultTableStyle="TableStyleMedium2" defaultPivotStyle="PivotStyleLight16"/>
  <colors>
    <mruColors>
      <color rgb="00FF1F1F"/>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customXml" Target="../customXml/item4.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1"/>
  <sheetViews>
    <sheetView showZeros="0" tabSelected="1" zoomScale="70" zoomScaleNormal="70" workbookViewId="0">
      <selection activeCell="I6" sqref="I6"/>
    </sheetView>
  </sheetViews>
  <sheetFormatPr defaultColWidth="9" defaultRowHeight="15.6" outlineLevelCol="7"/>
  <cols>
    <col min="1" max="1" width="17.787037037037" style="46" customWidth="1"/>
    <col min="2" max="2" width="24.0740740740741" style="47" customWidth="1"/>
    <col min="3" max="3" width="59.5462962962963" style="46" customWidth="1"/>
    <col min="4" max="4" width="17.462962962963" style="47" customWidth="1"/>
    <col min="5" max="5" width="17.3240740740741" style="47" customWidth="1"/>
    <col min="6" max="6" width="18.5092592592593" style="47" customWidth="1"/>
    <col min="7" max="7" width="17.8611111111111" style="46" customWidth="1"/>
    <col min="8" max="8" width="22.1851851851852" style="46" customWidth="1"/>
    <col min="9" max="14" width="7.52777777777778" style="46" customWidth="1"/>
    <col min="15" max="16375" width="9" style="46"/>
    <col min="16376" max="16382" width="9" style="48"/>
  </cols>
  <sheetData>
    <row r="1" ht="20.4" spans="1:8">
      <c r="A1" s="49" t="s">
        <v>0</v>
      </c>
      <c r="B1" s="50"/>
      <c r="C1" s="51"/>
      <c r="D1" s="50"/>
      <c r="E1" s="50"/>
      <c r="F1" s="50"/>
      <c r="G1" s="51"/>
      <c r="H1" s="51"/>
    </row>
    <row r="2" s="43" customFormat="1" ht="30" customHeight="1" spans="1:8">
      <c r="A2" s="52" t="s">
        <v>1</v>
      </c>
      <c r="B2" s="52"/>
      <c r="C2" s="52"/>
      <c r="D2" s="52"/>
      <c r="E2" s="52"/>
      <c r="F2" s="52"/>
      <c r="G2" s="52"/>
      <c r="H2" s="52"/>
    </row>
    <row r="3" s="43" customFormat="1" ht="16" customHeight="1" spans="1:8">
      <c r="A3" s="53"/>
      <c r="B3" s="53"/>
      <c r="C3" s="53"/>
      <c r="D3" s="54"/>
      <c r="E3" s="55"/>
      <c r="F3" s="54"/>
      <c r="G3" s="56" t="s">
        <v>2</v>
      </c>
      <c r="H3" s="56"/>
    </row>
    <row r="4" s="44" customFormat="1" ht="26" customHeight="1" spans="1:8">
      <c r="A4" s="57" t="s">
        <v>3</v>
      </c>
      <c r="B4" s="58" t="s">
        <v>4</v>
      </c>
      <c r="C4" s="57" t="s">
        <v>5</v>
      </c>
      <c r="D4" s="59" t="s">
        <v>6</v>
      </c>
      <c r="E4" s="60" t="s">
        <v>7</v>
      </c>
      <c r="F4" s="60"/>
      <c r="G4" s="60"/>
      <c r="H4" s="61" t="s">
        <v>8</v>
      </c>
    </row>
    <row r="5" s="45" customFormat="1" ht="26" customHeight="1" spans="1:8">
      <c r="A5" s="57"/>
      <c r="B5" s="58"/>
      <c r="C5" s="57"/>
      <c r="D5" s="59"/>
      <c r="E5" s="62" t="s">
        <v>9</v>
      </c>
      <c r="F5" s="62" t="s">
        <v>10</v>
      </c>
      <c r="G5" s="62" t="s">
        <v>11</v>
      </c>
      <c r="H5" s="63"/>
    </row>
    <row r="6" s="45" customFormat="1" ht="24" customHeight="1" spans="1:8">
      <c r="A6" s="57" t="s">
        <v>12</v>
      </c>
      <c r="B6" s="57"/>
      <c r="C6" s="57"/>
      <c r="D6" s="62">
        <f>D7+D34+D51+D74+D78+D99+D108+D110</f>
        <v>445</v>
      </c>
      <c r="E6" s="62">
        <f>E7+E34+E51+E74+E78+E99+E108+E110</f>
        <v>45246.4308</v>
      </c>
      <c r="F6" s="62">
        <f>F7+F34+F51+F74+F78+F99+F108+F110</f>
        <v>29217.8058</v>
      </c>
      <c r="G6" s="62">
        <f>G7+G34+G51+G74+G78+G99+G108+G110</f>
        <v>16028.625</v>
      </c>
      <c r="H6" s="62"/>
    </row>
    <row r="7" s="45" customFormat="1" ht="24" customHeight="1" spans="1:8">
      <c r="A7" s="64" t="s">
        <v>13</v>
      </c>
      <c r="B7" s="58" t="s">
        <v>14</v>
      </c>
      <c r="C7" s="58"/>
      <c r="D7" s="62">
        <f>D8+D15+D20+D23+D28</f>
        <v>216</v>
      </c>
      <c r="E7" s="62">
        <f>E8+E15+E20+E23+E28</f>
        <v>31848.2945</v>
      </c>
      <c r="F7" s="62">
        <f>F8+F15+F20+F23+F28</f>
        <v>20089.9795</v>
      </c>
      <c r="G7" s="62">
        <f>G8+G15+G20+G23+G28</f>
        <v>11758.315</v>
      </c>
      <c r="H7" s="62"/>
    </row>
    <row r="8" s="45" customFormat="1" ht="30" customHeight="1" spans="1:8">
      <c r="A8" s="64"/>
      <c r="B8" s="65" t="s">
        <v>15</v>
      </c>
      <c r="C8" s="57" t="s">
        <v>16</v>
      </c>
      <c r="D8" s="62">
        <f>SUM(D9:D14)</f>
        <v>171</v>
      </c>
      <c r="E8" s="62">
        <f>SUM(E9:E14)</f>
        <v>18860.582</v>
      </c>
      <c r="F8" s="62">
        <f>SUM(F9:F14)</f>
        <v>15002.267</v>
      </c>
      <c r="G8" s="62">
        <f>SUM(G9:G14)</f>
        <v>3858.315</v>
      </c>
      <c r="H8" s="62"/>
    </row>
    <row r="9" s="46" customFormat="1" ht="23" customHeight="1" spans="1:8">
      <c r="A9" s="64"/>
      <c r="B9" s="65"/>
      <c r="C9" s="66" t="s">
        <v>17</v>
      </c>
      <c r="D9" s="67">
        <f>COUNTIFS(项目库明细总表!D:D,"种植业基地")</f>
        <v>116</v>
      </c>
      <c r="E9" s="67">
        <f t="shared" ref="E9:E14" si="0">F9+G9</f>
        <v>6978.482</v>
      </c>
      <c r="F9" s="67">
        <f>SUMIFS(项目库明细总表!J:J,项目库明细总表!$D:$D,"种植业基地")</f>
        <v>5476.167</v>
      </c>
      <c r="G9" s="67">
        <f>SUMIFS(项目库明细总表!K:K,项目库明细总表!$D:$D,"种植业基地")</f>
        <v>1502.315</v>
      </c>
      <c r="H9" s="68"/>
    </row>
    <row r="10" s="46" customFormat="1" ht="20" customHeight="1" spans="1:8">
      <c r="A10" s="64"/>
      <c r="B10" s="65"/>
      <c r="C10" s="66" t="s">
        <v>18</v>
      </c>
      <c r="D10" s="67">
        <f>COUNTIFS(项目库明细总表!D:D,"养殖业基地")</f>
        <v>12</v>
      </c>
      <c r="E10" s="67">
        <f t="shared" si="0"/>
        <v>1307</v>
      </c>
      <c r="F10" s="67">
        <f>SUMIFS(项目库明细总表!J:J,项目库明细总表!$D:$D,"养殖业基地")</f>
        <v>1153</v>
      </c>
      <c r="G10" s="67">
        <f>SUMIFS(项目库明细总表!K:K,项目库明细总表!$D:$D,"养殖业基地")</f>
        <v>154</v>
      </c>
      <c r="H10" s="68"/>
    </row>
    <row r="11" s="46" customFormat="1" ht="20" customHeight="1" spans="1:8">
      <c r="A11" s="64"/>
      <c r="B11" s="65"/>
      <c r="C11" s="66" t="s">
        <v>19</v>
      </c>
      <c r="D11" s="67">
        <f>COUNTIFS(项目库明细总表!D:D,"水产养殖业发展")</f>
        <v>0</v>
      </c>
      <c r="E11" s="67">
        <f t="shared" si="0"/>
        <v>0</v>
      </c>
      <c r="F11" s="67">
        <f>SUMIFS(项目库明细总表!J:J,项目库明细总表!$D:$D,"水产养殖业发展")</f>
        <v>0</v>
      </c>
      <c r="G11" s="67">
        <f>SUMIFS(项目库明细总表!K:K,项目库明细总表!$D:$D,"水产养殖业发展")</f>
        <v>0</v>
      </c>
      <c r="H11" s="68"/>
    </row>
    <row r="12" s="46" customFormat="1" ht="20" customHeight="1" spans="1:8">
      <c r="A12" s="64"/>
      <c r="B12" s="65"/>
      <c r="C12" s="66" t="s">
        <v>20</v>
      </c>
      <c r="D12" s="67">
        <f>COUNTIFS(项目库明细总表!D:D,"林草基地建设")</f>
        <v>0</v>
      </c>
      <c r="E12" s="67">
        <f t="shared" si="0"/>
        <v>0</v>
      </c>
      <c r="F12" s="67">
        <f>SUMIFS(项目库明细总表!J:J,项目库明细总表!$D:$D,"林草基地建设")</f>
        <v>0</v>
      </c>
      <c r="G12" s="67">
        <f>SUMIFS(项目库明细总表!K:K,项目库明细总表!$D:$D,"林草基地建设")</f>
        <v>0</v>
      </c>
      <c r="H12" s="68"/>
    </row>
    <row r="13" s="46" customFormat="1" ht="20" customHeight="1" spans="1:8">
      <c r="A13" s="64"/>
      <c r="B13" s="65"/>
      <c r="C13" s="66" t="s">
        <v>21</v>
      </c>
      <c r="D13" s="67">
        <f>COUNTIFS(项目库明细总表!D:D,"休闲农业与乡村旅游")</f>
        <v>5</v>
      </c>
      <c r="E13" s="67">
        <f t="shared" si="0"/>
        <v>500</v>
      </c>
      <c r="F13" s="67">
        <f>SUMIFS(项目库明细总表!J:J,项目库明细总表!$D:$D,"休闲农业与乡村旅游")</f>
        <v>500</v>
      </c>
      <c r="G13" s="67">
        <f>SUMIFS(项目库明细总表!K:K,项目库明细总表!$D:$D,"休闲农业与乡村旅游")</f>
        <v>0</v>
      </c>
      <c r="H13" s="68"/>
    </row>
    <row r="14" s="46" customFormat="1" ht="20" customHeight="1" spans="1:8">
      <c r="A14" s="64"/>
      <c r="B14" s="65"/>
      <c r="C14" s="66" t="s">
        <v>22</v>
      </c>
      <c r="D14" s="67">
        <f>COUNTIFS(项目库明细总表!D:D,"光伏电站建设")</f>
        <v>38</v>
      </c>
      <c r="E14" s="67">
        <f t="shared" si="0"/>
        <v>10075.1</v>
      </c>
      <c r="F14" s="67">
        <f>SUMIFS(项目库明细总表!J:J,项目库明细总表!$D:$D,"光伏电站建设")</f>
        <v>7873.1</v>
      </c>
      <c r="G14" s="67">
        <f>SUMIFS(项目库明细总表!K:K,项目库明细总表!$D:$D,"光伏电站建设")</f>
        <v>2202</v>
      </c>
      <c r="H14" s="68"/>
    </row>
    <row r="15" s="46" customFormat="1" ht="21" customHeight="1" spans="1:8">
      <c r="A15" s="64"/>
      <c r="B15" s="65" t="s">
        <v>23</v>
      </c>
      <c r="C15" s="57" t="s">
        <v>16</v>
      </c>
      <c r="D15" s="67">
        <f>SUM(D16:D19)</f>
        <v>30</v>
      </c>
      <c r="E15" s="67">
        <f>SUM(E16:E19)</f>
        <v>11788.2975</v>
      </c>
      <c r="F15" s="67">
        <f>SUM(F16:F19)</f>
        <v>4262.2975</v>
      </c>
      <c r="G15" s="67">
        <f>SUM(G16:G19)</f>
        <v>7526</v>
      </c>
      <c r="H15" s="68"/>
    </row>
    <row r="16" s="46" customFormat="1" ht="21" customHeight="1" spans="1:8">
      <c r="A16" s="64"/>
      <c r="B16" s="65"/>
      <c r="C16" s="66" t="s">
        <v>24</v>
      </c>
      <c r="D16" s="67">
        <f>COUNTIFS(项目库明细总表!D:D,"农产品仓储保鲜冷链基础设施建设")</f>
        <v>8</v>
      </c>
      <c r="E16" s="67">
        <f>F16+G16</f>
        <v>9813.1975</v>
      </c>
      <c r="F16" s="67">
        <f>SUMIFS(项目库明细总表!J:J,项目库明细总表!$D:$D,"农产品仓储保鲜冷链基础设施建设")</f>
        <v>2287.1975</v>
      </c>
      <c r="G16" s="67">
        <f>SUMIFS(项目库明细总表!K:K,项目库明细总表!$D:$D,"农产品仓储保鲜冷链基础设施建设")</f>
        <v>7526</v>
      </c>
      <c r="H16" s="68"/>
    </row>
    <row r="17" s="46" customFormat="1" ht="21" customHeight="1" spans="1:8">
      <c r="A17" s="64"/>
      <c r="B17" s="65"/>
      <c r="C17" s="68" t="s">
        <v>25</v>
      </c>
      <c r="D17" s="67">
        <f>COUNTIFS(项目库明细总表!D:D,"加工业")</f>
        <v>14</v>
      </c>
      <c r="E17" s="67">
        <f>F17+G17</f>
        <v>974.1</v>
      </c>
      <c r="F17" s="67">
        <f>SUMIFS(项目库明细总表!J:J,项目库明细总表!$D:$D,"加工业")</f>
        <v>974.1</v>
      </c>
      <c r="G17" s="67">
        <f>SUMIFS(项目库明细总表!K:K,项目库明细总表!$D:$D,"加工业")</f>
        <v>0</v>
      </c>
      <c r="H17" s="68"/>
    </row>
    <row r="18" s="46" customFormat="1" ht="21" customHeight="1" spans="1:8">
      <c r="A18" s="64"/>
      <c r="B18" s="65"/>
      <c r="C18" s="66" t="s">
        <v>26</v>
      </c>
      <c r="D18" s="67">
        <f>COUNTIFS(项目库明细总表!D:D,"市场建设和农村物流")</f>
        <v>6</v>
      </c>
      <c r="E18" s="67">
        <f>F18+G18</f>
        <v>947</v>
      </c>
      <c r="F18" s="67">
        <f>SUMIFS(项目库明细总表!J:J,项目库明细总表!$D:$D,"市场建设和农村物流")</f>
        <v>947</v>
      </c>
      <c r="G18" s="67">
        <f>SUMIFS(项目库明细总表!K:K,项目库明细总表!$D:$D,"市场建设和农村物流")</f>
        <v>0</v>
      </c>
      <c r="H18" s="68"/>
    </row>
    <row r="19" s="46" customFormat="1" ht="21" customHeight="1" spans="1:8">
      <c r="A19" s="64"/>
      <c r="B19" s="65"/>
      <c r="C19" s="66" t="s">
        <v>27</v>
      </c>
      <c r="D19" s="67">
        <f>COUNTIFS(项目库明细总表!D:D,"品牌打造和展销平台")</f>
        <v>2</v>
      </c>
      <c r="E19" s="67">
        <f>F19+G19</f>
        <v>54</v>
      </c>
      <c r="F19" s="67">
        <f>SUMIFS(项目库明细总表!J:J,项目库明细总表!$D:$D,"品牌打造和展销平台")</f>
        <v>54</v>
      </c>
      <c r="G19" s="67">
        <f>SUMIFS(项目库明细总表!K:K,项目库明细总表!$D:$D,"品牌打造和展销平台")</f>
        <v>0</v>
      </c>
      <c r="H19" s="68"/>
    </row>
    <row r="20" s="46" customFormat="1" ht="21" customHeight="1" spans="1:8">
      <c r="A20" s="64"/>
      <c r="B20" s="67" t="s">
        <v>28</v>
      </c>
      <c r="C20" s="57" t="s">
        <v>16</v>
      </c>
      <c r="D20" s="67">
        <f>SUM(D21:D22)</f>
        <v>4</v>
      </c>
      <c r="E20" s="67">
        <f>SUM(E21:E22)</f>
        <v>258</v>
      </c>
      <c r="F20" s="67">
        <f>SUM(F21:F22)</f>
        <v>258</v>
      </c>
      <c r="G20" s="67">
        <f>SUM(G21:G22)</f>
        <v>0</v>
      </c>
      <c r="H20" s="68"/>
    </row>
    <row r="21" s="46" customFormat="1" ht="21" customHeight="1" spans="1:8">
      <c r="A21" s="64"/>
      <c r="B21" s="67"/>
      <c r="C21" s="66" t="s">
        <v>29</v>
      </c>
      <c r="D21" s="67">
        <f>COUNTIFS(项目库明细总表!D:D,"小型农田水利设施建设")</f>
        <v>4</v>
      </c>
      <c r="E21" s="67">
        <f>F21+G21</f>
        <v>258</v>
      </c>
      <c r="F21" s="67">
        <f>SUMIFS(项目库明细总表!J:J,项目库明细总表!$D:$D,"小型农田水利设施建设")</f>
        <v>258</v>
      </c>
      <c r="G21" s="67">
        <f>SUMIFS(项目库明细总表!K:K,项目库明细总表!$D:$D,"小型农田水利设施建设")</f>
        <v>0</v>
      </c>
      <c r="H21" s="68"/>
    </row>
    <row r="22" s="46" customFormat="1" ht="21" customHeight="1" spans="1:8">
      <c r="A22" s="64"/>
      <c r="B22" s="67"/>
      <c r="C22" s="68" t="s">
        <v>30</v>
      </c>
      <c r="D22" s="67">
        <f>COUNTIFS(项目库明细总表!D:D,"产业园（区）")</f>
        <v>0</v>
      </c>
      <c r="E22" s="67">
        <f>F22+G22</f>
        <v>0</v>
      </c>
      <c r="F22" s="67">
        <f>SUMIFS(项目库明细总表!J:J,项目库明细总表!$D:$D,"产业园（区）")</f>
        <v>0</v>
      </c>
      <c r="G22" s="67">
        <f>SUMIFS(项目库明细总表!K:K,项目库明细总表!$D:$D,"产业园（区）")</f>
        <v>0</v>
      </c>
      <c r="H22" s="68"/>
    </row>
    <row r="23" s="46" customFormat="1" ht="21" customHeight="1" spans="1:8">
      <c r="A23" s="64"/>
      <c r="B23" s="67" t="s">
        <v>31</v>
      </c>
      <c r="C23" s="57" t="s">
        <v>16</v>
      </c>
      <c r="D23" s="67">
        <f>SUM(D24:D27)</f>
        <v>9</v>
      </c>
      <c r="E23" s="67">
        <f>SUM(E24:E27)</f>
        <v>890.415</v>
      </c>
      <c r="F23" s="67">
        <f>SUM(F24:F27)</f>
        <v>516.415</v>
      </c>
      <c r="G23" s="67">
        <f>SUM(G24:G27)</f>
        <v>374</v>
      </c>
      <c r="H23" s="68"/>
    </row>
    <row r="24" s="46" customFormat="1" ht="21" customHeight="1" spans="1:8">
      <c r="A24" s="64"/>
      <c r="B24" s="67"/>
      <c r="C24" s="68" t="s">
        <v>32</v>
      </c>
      <c r="D24" s="67">
        <f>COUNTIFS(项目库明细总表!D:D,"智慧农业")</f>
        <v>1</v>
      </c>
      <c r="E24" s="67">
        <f>F24+G24</f>
        <v>444</v>
      </c>
      <c r="F24" s="67">
        <f>SUMIFS(项目库明细总表!J:J,项目库明细总表!$D:$D,"智慧农业")</f>
        <v>70</v>
      </c>
      <c r="G24" s="67">
        <f>SUMIFS(项目库明细总表!K:K,项目库明细总表!$D:$D,"智慧农业")</f>
        <v>374</v>
      </c>
      <c r="H24" s="68"/>
    </row>
    <row r="25" s="46" customFormat="1" ht="21" customHeight="1" spans="1:8">
      <c r="A25" s="64"/>
      <c r="B25" s="67"/>
      <c r="C25" s="68" t="s">
        <v>33</v>
      </c>
      <c r="D25" s="67">
        <f>COUNTIFS(项目库明细总表!D:D,"科技服务")</f>
        <v>1</v>
      </c>
      <c r="E25" s="67">
        <f>F25+G25</f>
        <v>12</v>
      </c>
      <c r="F25" s="67">
        <f>SUMIFS(项目库明细总表!J:J,项目库明细总表!$D:$D,"科技服务")</f>
        <v>12</v>
      </c>
      <c r="G25" s="67">
        <f>SUMIFS(项目库明细总表!K:K,项目库明细总表!$D:$D,"科技服务")</f>
        <v>0</v>
      </c>
      <c r="H25" s="68"/>
    </row>
    <row r="26" s="46" customFormat="1" ht="21" customHeight="1" spans="1:8">
      <c r="A26" s="64"/>
      <c r="B26" s="67"/>
      <c r="C26" s="68" t="s">
        <v>34</v>
      </c>
      <c r="D26" s="67">
        <f>COUNTIFS(项目库明细总表!D:D,"人才培养")</f>
        <v>0</v>
      </c>
      <c r="E26" s="67">
        <f>F26+G26</f>
        <v>0</v>
      </c>
      <c r="F26" s="67">
        <f>SUMIFS(项目库明细总表!J:J,项目库明细总表!$D:$D,"人才培养")</f>
        <v>0</v>
      </c>
      <c r="G26" s="67">
        <f>SUMIFS(项目库明细总表!K:K,项目库明细总表!$D:$D,"人才培养")</f>
        <v>0</v>
      </c>
      <c r="H26" s="68"/>
    </row>
    <row r="27" s="46" customFormat="1" ht="21" customHeight="1" spans="1:8">
      <c r="A27" s="64"/>
      <c r="B27" s="67"/>
      <c r="C27" s="68" t="s">
        <v>35</v>
      </c>
      <c r="D27" s="67">
        <f>COUNTIFS(项目库明细总表!D:D,"农业社会化服务")</f>
        <v>7</v>
      </c>
      <c r="E27" s="67">
        <f>F27+G27</f>
        <v>434.415</v>
      </c>
      <c r="F27" s="67">
        <f>SUMIFS(项目库明细总表!J:J,项目库明细总表!$D:$D,"农业社会化服务")</f>
        <v>434.415</v>
      </c>
      <c r="G27" s="67">
        <f>SUMIFS(项目库明细总表!K:K,项目库明细总表!$D:$D,"农业社会化服务")</f>
        <v>0</v>
      </c>
      <c r="H27" s="68"/>
    </row>
    <row r="28" s="46" customFormat="1" ht="18" customHeight="1" spans="1:8">
      <c r="A28" s="64"/>
      <c r="B28" s="67" t="s">
        <v>36</v>
      </c>
      <c r="C28" s="57" t="s">
        <v>16</v>
      </c>
      <c r="D28" s="67">
        <f>SUM(D29:D33)</f>
        <v>2</v>
      </c>
      <c r="E28" s="67">
        <f>SUM(E29:E33)</f>
        <v>51</v>
      </c>
      <c r="F28" s="67">
        <f>SUM(F29:F33)</f>
        <v>51</v>
      </c>
      <c r="G28" s="67">
        <f>SUM(G29:G33)</f>
        <v>0</v>
      </c>
      <c r="H28" s="68"/>
    </row>
    <row r="29" s="46" customFormat="1" ht="21" customHeight="1" spans="1:8">
      <c r="A29" s="64"/>
      <c r="B29" s="67"/>
      <c r="C29" s="66" t="s">
        <v>37</v>
      </c>
      <c r="D29" s="67">
        <f>COUNTIFS(项目库明细总表!D:D,"小额贷款贴息")</f>
        <v>1</v>
      </c>
      <c r="E29" s="67">
        <f>F29+G29</f>
        <v>50</v>
      </c>
      <c r="F29" s="67">
        <f>SUMIFS(项目库明细总表!J:J,项目库明细总表!$D:$D,"小额贷款贴息")</f>
        <v>50</v>
      </c>
      <c r="G29" s="67">
        <f>SUMIFS(项目库明细总表!K:K,项目库明细总表!$D:$D,"小额贷款贴息")</f>
        <v>0</v>
      </c>
      <c r="H29" s="68"/>
    </row>
    <row r="30" s="46" customFormat="1" ht="21" customHeight="1" spans="1:8">
      <c r="A30" s="64"/>
      <c r="B30" s="67"/>
      <c r="C30" s="66" t="s">
        <v>38</v>
      </c>
      <c r="D30" s="67">
        <f>COUNTIFS(项目库明细总表!D:D,"小额信贷风险补偿金")</f>
        <v>0</v>
      </c>
      <c r="E30" s="67">
        <f>F30+G30</f>
        <v>0</v>
      </c>
      <c r="F30" s="67">
        <f>SUMIFS(项目库明细总表!J:J,项目库明细总表!$D:$D,"小额信贷风险补偿金")</f>
        <v>0</v>
      </c>
      <c r="G30" s="67">
        <f>SUMIFS(项目库明细总表!K:K,项目库明细总表!$D:$D,"小额信贷风险补偿金")</f>
        <v>0</v>
      </c>
      <c r="H30" s="68"/>
    </row>
    <row r="31" s="46" customFormat="1" ht="21" customHeight="1" spans="1:8">
      <c r="A31" s="64"/>
      <c r="B31" s="67"/>
      <c r="C31" s="66" t="s">
        <v>39</v>
      </c>
      <c r="D31" s="67">
        <f>COUNTIFS(项目库明细总表!D:D,"特色产业保险保费补助")</f>
        <v>0</v>
      </c>
      <c r="E31" s="67">
        <f>F31+G31</f>
        <v>0</v>
      </c>
      <c r="F31" s="67">
        <f>SUMIFS(项目库明细总表!J:J,项目库明细总表!$D:$D,"特色产业保险保费补助")</f>
        <v>0</v>
      </c>
      <c r="G31" s="67">
        <f>SUMIFS(项目库明细总表!K:K,项目库明细总表!$D:$D,"特色产业保险保费补助")</f>
        <v>0</v>
      </c>
      <c r="H31" s="68"/>
    </row>
    <row r="32" s="46" customFormat="1" ht="21" customHeight="1" spans="1:8">
      <c r="A32" s="64"/>
      <c r="B32" s="67"/>
      <c r="C32" s="66" t="s">
        <v>40</v>
      </c>
      <c r="D32" s="67">
        <f>COUNTIFS(项目库明细总表!D:D,"新型经营主体贷款贴息")</f>
        <v>0</v>
      </c>
      <c r="E32" s="67">
        <f>F32+G32</f>
        <v>0</v>
      </c>
      <c r="F32" s="67">
        <f>SUMIFS(项目库明细总表!J:J,项目库明细总表!$D:$D,"新型经营主体贷款贴息")</f>
        <v>0</v>
      </c>
      <c r="G32" s="67">
        <f>SUMIFS(项目库明细总表!K:K,项目库明细总表!$D:$D,"新型经营主体贷款贴息")</f>
        <v>0</v>
      </c>
      <c r="H32" s="68"/>
    </row>
    <row r="33" s="46" customFormat="1" ht="21" customHeight="1" spans="1:8">
      <c r="A33" s="64"/>
      <c r="B33" s="67"/>
      <c r="C33" s="66" t="s">
        <v>41</v>
      </c>
      <c r="D33" s="67">
        <f>COUNTIFS(项目库明细总表!B:B,"产业发展",项目库明细总表!D:D,"其他")</f>
        <v>1</v>
      </c>
      <c r="E33" s="67">
        <f>F33+G33</f>
        <v>1</v>
      </c>
      <c r="F33" s="67">
        <f>SUMIFS(项目库明细总表!J:J,项目库明细总表!$B:$B,"产业发展",项目库明细总表!$D:$D,"其他")</f>
        <v>1</v>
      </c>
      <c r="G33" s="67">
        <f>SUMIFS(项目库明细总表!K:K,项目库明细总表!$B:$B,"产业发展",项目库明细总表!$D:$D,"新型经营主体贷款贴息")</f>
        <v>0</v>
      </c>
      <c r="H33" s="68"/>
    </row>
    <row r="34" s="46" customFormat="1" ht="21" customHeight="1" spans="1:8">
      <c r="A34" s="64" t="s">
        <v>42</v>
      </c>
      <c r="B34" s="58" t="s">
        <v>14</v>
      </c>
      <c r="C34" s="58"/>
      <c r="D34" s="67">
        <f>D35+D38+D42+D45+D49</f>
        <v>8</v>
      </c>
      <c r="E34" s="67">
        <f>E35+E38+E42+E45+E49</f>
        <v>306.5</v>
      </c>
      <c r="F34" s="67">
        <f>F35+F38+F42+F45+F49</f>
        <v>27.5</v>
      </c>
      <c r="G34" s="67">
        <f>G35+G38+G42+G45+G49</f>
        <v>279</v>
      </c>
      <c r="H34" s="68"/>
    </row>
    <row r="35" s="46" customFormat="1" ht="21" customHeight="1" spans="1:8">
      <c r="A35" s="64"/>
      <c r="B35" s="64" t="s">
        <v>43</v>
      </c>
      <c r="C35" s="57" t="s">
        <v>16</v>
      </c>
      <c r="D35" s="67">
        <f>SUM(D36:D37)</f>
        <v>2</v>
      </c>
      <c r="E35" s="67">
        <f>SUM(E36:E37)</f>
        <v>12</v>
      </c>
      <c r="F35" s="67">
        <f>SUM(F36:F37)</f>
        <v>10</v>
      </c>
      <c r="G35" s="67">
        <f>SUM(G36:G37)</f>
        <v>2</v>
      </c>
      <c r="H35" s="68"/>
    </row>
    <row r="36" s="46" customFormat="1" ht="21" customHeight="1" spans="1:8">
      <c r="A36" s="64"/>
      <c r="B36" s="64"/>
      <c r="C36" s="66" t="s">
        <v>44</v>
      </c>
      <c r="D36" s="67">
        <f>COUNTIFS(项目库明细总表!D:D,"交通费补助")</f>
        <v>1</v>
      </c>
      <c r="E36" s="67">
        <f>F36+G36</f>
        <v>10</v>
      </c>
      <c r="F36" s="67">
        <f>SUMIFS(项目库明细总表!J:J,项目库明细总表!$D:$D,"交通费补助")</f>
        <v>10</v>
      </c>
      <c r="G36" s="67">
        <f>SUMIFS(项目库明细总表!K:K,项目库明细总表!$D:$D,"交通费补助")</f>
        <v>0</v>
      </c>
      <c r="H36" s="68"/>
    </row>
    <row r="37" s="46" customFormat="1" ht="21" customHeight="1" spans="1:8">
      <c r="A37" s="64"/>
      <c r="B37" s="64"/>
      <c r="C37" s="66" t="s">
        <v>45</v>
      </c>
      <c r="D37" s="67">
        <f>COUNTIFS(项目库明细总表!D:D,"生产奖补、劳务补助等")</f>
        <v>1</v>
      </c>
      <c r="E37" s="67">
        <f>F37+G37</f>
        <v>2</v>
      </c>
      <c r="F37" s="67">
        <f>SUMIFS(项目库明细总表!J:J,项目库明细总表!$D:$D,"生产奖补、劳务补助等")</f>
        <v>0</v>
      </c>
      <c r="G37" s="67">
        <f>SUMIFS(项目库明细总表!K:K,项目库明细总表!$D:$D,"生产奖补、劳务补助等")</f>
        <v>2</v>
      </c>
      <c r="H37" s="68"/>
    </row>
    <row r="38" s="46" customFormat="1" ht="21" customHeight="1" spans="1:8">
      <c r="A38" s="64"/>
      <c r="B38" s="64" t="s">
        <v>46</v>
      </c>
      <c r="C38" s="57" t="s">
        <v>16</v>
      </c>
      <c r="D38" s="67">
        <f>SUM(D39:D41)</f>
        <v>1</v>
      </c>
      <c r="E38" s="67">
        <f>SUM(E39:E41)</f>
        <v>2.5</v>
      </c>
      <c r="F38" s="67">
        <f>SUM(F39:F41)</f>
        <v>2.5</v>
      </c>
      <c r="G38" s="67">
        <f>SUM(G39:G41)</f>
        <v>0</v>
      </c>
      <c r="H38" s="68"/>
    </row>
    <row r="39" s="46" customFormat="1" ht="21" customHeight="1" spans="1:8">
      <c r="A39" s="64"/>
      <c r="B39" s="64"/>
      <c r="C39" s="66" t="s">
        <v>47</v>
      </c>
      <c r="D39" s="67">
        <f>COUNTIFS(项目库明细总表!D:D,"帮扶车间（特色手工基地）建设")</f>
        <v>0</v>
      </c>
      <c r="E39" s="67">
        <f>F39+G39</f>
        <v>0</v>
      </c>
      <c r="F39" s="67">
        <f>SUMIFS(项目库明细总表!J:J,项目库明细总表!$D:$D,"帮扶车间（特色手工基地）建设")</f>
        <v>0</v>
      </c>
      <c r="G39" s="67">
        <f>SUMIFS(项目库明细总表!K:K,项目库明细总表!$D:$D,"帮扶车间（特色手工基地）建设")</f>
        <v>0</v>
      </c>
      <c r="H39" s="68"/>
    </row>
    <row r="40" s="46" customFormat="1" ht="21" customHeight="1" spans="1:8">
      <c r="A40" s="64"/>
      <c r="B40" s="64"/>
      <c r="C40" s="66" t="s">
        <v>48</v>
      </c>
      <c r="D40" s="67">
        <f>COUNTIFS(项目库明细总表!D:D,"技能培训")</f>
        <v>1</v>
      </c>
      <c r="E40" s="67">
        <f>F40+G40</f>
        <v>2.5</v>
      </c>
      <c r="F40" s="67">
        <f>SUMIFS(项目库明细总表!J:J,项目库明细总表!$D:$D,"技能培训")</f>
        <v>2.5</v>
      </c>
      <c r="G40" s="67">
        <f>SUMIFS(项目库明细总表!K:K,项目库明细总表!$D:$D,"技能培训")</f>
        <v>0</v>
      </c>
      <c r="H40" s="68"/>
    </row>
    <row r="41" s="46" customFormat="1" ht="21" customHeight="1" spans="1:8">
      <c r="A41" s="64"/>
      <c r="B41" s="64"/>
      <c r="C41" s="66" t="s">
        <v>49</v>
      </c>
      <c r="D41" s="67">
        <f>COUNTIFS(项目库明细总表!D:D,"以工代训")</f>
        <v>0</v>
      </c>
      <c r="E41" s="67">
        <f>F41+G41</f>
        <v>0</v>
      </c>
      <c r="F41" s="67">
        <f>SUMIFS(项目库明细总表!J:J,项目库明细总表!$D:$D,"以工代训")</f>
        <v>0</v>
      </c>
      <c r="G41" s="67">
        <f>SUMIFS(项目库明细总表!K:K,项目库明细总表!$D:$D,"以工代训")</f>
        <v>0</v>
      </c>
      <c r="H41" s="68"/>
    </row>
    <row r="42" s="46" customFormat="1" ht="21" customHeight="1" spans="1:8">
      <c r="A42" s="64"/>
      <c r="B42" s="64" t="s">
        <v>50</v>
      </c>
      <c r="C42" s="57" t="s">
        <v>16</v>
      </c>
      <c r="D42" s="67">
        <f>SUM(D43:D44)</f>
        <v>2</v>
      </c>
      <c r="E42" s="67">
        <f>SUM(E43:E44)</f>
        <v>16</v>
      </c>
      <c r="F42" s="67">
        <f>SUM(F43:F44)</f>
        <v>15</v>
      </c>
      <c r="G42" s="67">
        <f>SUM(G43:G44)</f>
        <v>1</v>
      </c>
      <c r="H42" s="68"/>
    </row>
    <row r="43" s="46" customFormat="1" ht="21" customHeight="1" spans="1:8">
      <c r="A43" s="64"/>
      <c r="B43" s="64"/>
      <c r="C43" s="66" t="s">
        <v>51</v>
      </c>
      <c r="D43" s="67">
        <f>COUNTIFS(项目库明细总表!D:D,"创业培训")</f>
        <v>1</v>
      </c>
      <c r="E43" s="67">
        <f>F43+G43</f>
        <v>15</v>
      </c>
      <c r="F43" s="67">
        <f>SUMIFS(项目库明细总表!J:J,项目库明细总表!$D:$D,"创业培训")</f>
        <v>15</v>
      </c>
      <c r="G43" s="67">
        <f>SUMIFS(项目库明细总表!K:K,项目库明细总表!$D:$D,"创业培训")</f>
        <v>0</v>
      </c>
      <c r="H43" s="68"/>
    </row>
    <row r="44" s="46" customFormat="1" ht="21" customHeight="1" spans="1:8">
      <c r="A44" s="64"/>
      <c r="B44" s="64"/>
      <c r="C44" s="69" t="s">
        <v>52</v>
      </c>
      <c r="D44" s="67">
        <f>COUNTIFS(项目库明细总表!D:D,"创业奖补")</f>
        <v>1</v>
      </c>
      <c r="E44" s="67">
        <f>F44+G44</f>
        <v>1</v>
      </c>
      <c r="F44" s="67">
        <f>SUMIFS(项目库明细总表!J:J,项目库明细总表!$D:$D,"创业奖补")</f>
        <v>0</v>
      </c>
      <c r="G44" s="67">
        <f>SUMIFS(项目库明细总表!K:K,项目库明细总表!$D:$D,"创业奖补")</f>
        <v>1</v>
      </c>
      <c r="H44" s="68"/>
    </row>
    <row r="45" s="46" customFormat="1" ht="21" customHeight="1" spans="1:8">
      <c r="A45" s="64"/>
      <c r="B45" s="64" t="s">
        <v>53</v>
      </c>
      <c r="C45" s="57" t="s">
        <v>16</v>
      </c>
      <c r="D45" s="67">
        <f>SUM(D46:D48)</f>
        <v>0</v>
      </c>
      <c r="E45" s="67">
        <f>SUM(E46:E48)</f>
        <v>0</v>
      </c>
      <c r="F45" s="67">
        <f>SUM(F46:F48)</f>
        <v>0</v>
      </c>
      <c r="G45" s="67">
        <f>SUM(G46:G48)</f>
        <v>0</v>
      </c>
      <c r="H45" s="68"/>
    </row>
    <row r="46" s="46" customFormat="1" ht="21" customHeight="1" spans="1:8">
      <c r="A46" s="64"/>
      <c r="B46" s="64"/>
      <c r="C46" s="69" t="s">
        <v>54</v>
      </c>
      <c r="D46" s="67">
        <f>COUNTIFS(项目库明细总表!D:D,"乡村工匠培育培训")</f>
        <v>0</v>
      </c>
      <c r="E46" s="67">
        <f>F46+G46</f>
        <v>0</v>
      </c>
      <c r="F46" s="67">
        <f>SUMIFS(项目库明细总表!J:J,项目库明细总表!$D:$D,"乡村工匠培育培训")</f>
        <v>0</v>
      </c>
      <c r="G46" s="67">
        <f>SUMIFS(项目库明细总表!K:K,项目库明细总表!$D:$D,"乡村工匠培育培训")</f>
        <v>0</v>
      </c>
      <c r="H46" s="68"/>
    </row>
    <row r="47" s="46" customFormat="1" ht="21" customHeight="1" spans="1:8">
      <c r="A47" s="64"/>
      <c r="B47" s="64"/>
      <c r="C47" s="69" t="s">
        <v>55</v>
      </c>
      <c r="D47" s="67">
        <f>COUNTIFS(项目库明细总表!D:D,"乡村工匠大师工作室")</f>
        <v>0</v>
      </c>
      <c r="E47" s="67">
        <f>F47+G47</f>
        <v>0</v>
      </c>
      <c r="F47" s="67">
        <f>SUMIFS(项目库明细总表!J:J,项目库明细总表!$D:$D,"乡村工匠大师工作室")</f>
        <v>0</v>
      </c>
      <c r="G47" s="67">
        <f>SUMIFS(项目库明细总表!K:K,项目库明细总表!$D:$D,"乡村工匠大师工作室")</f>
        <v>0</v>
      </c>
      <c r="H47" s="68"/>
    </row>
    <row r="48" s="46" customFormat="1" ht="21" customHeight="1" spans="1:8">
      <c r="A48" s="64"/>
      <c r="B48" s="64"/>
      <c r="C48" s="69" t="s">
        <v>56</v>
      </c>
      <c r="D48" s="67">
        <f>COUNTIFS(项目库明细总表!D:D,"乡村工匠传习所")</f>
        <v>0</v>
      </c>
      <c r="E48" s="67">
        <f>F48+G48</f>
        <v>0</v>
      </c>
      <c r="F48" s="67">
        <f>SUMIFS(项目库明细总表!J:J,项目库明细总表!$D:$D,"乡村工匠传习所")</f>
        <v>0</v>
      </c>
      <c r="G48" s="67">
        <f>SUMIFS(项目库明细总表!K:K,项目库明细总表!$D:$D,"乡村工匠传习所")</f>
        <v>0</v>
      </c>
      <c r="H48" s="68"/>
    </row>
    <row r="49" s="46" customFormat="1" ht="21" customHeight="1" spans="1:8">
      <c r="A49" s="64"/>
      <c r="B49" s="67" t="s">
        <v>57</v>
      </c>
      <c r="C49" s="57" t="s">
        <v>16</v>
      </c>
      <c r="D49" s="67">
        <f>D50</f>
        <v>3</v>
      </c>
      <c r="E49" s="67">
        <f>E50</f>
        <v>276</v>
      </c>
      <c r="F49" s="67">
        <f>F50</f>
        <v>0</v>
      </c>
      <c r="G49" s="67">
        <f>G50</f>
        <v>276</v>
      </c>
      <c r="H49" s="68"/>
    </row>
    <row r="50" s="46" customFormat="1" ht="21" customHeight="1" spans="1:8">
      <c r="A50" s="64"/>
      <c r="B50" s="67"/>
      <c r="C50" s="70" t="s">
        <v>57</v>
      </c>
      <c r="D50" s="67">
        <f>COUNTIFS(项目库明细总表!D:D,"公益性岗位")</f>
        <v>3</v>
      </c>
      <c r="E50" s="67">
        <f>F50+G50</f>
        <v>276</v>
      </c>
      <c r="F50" s="67">
        <f>SUMIFS(项目库明细总表!J:J,项目库明细总表!$D:$D,"公益性岗位")</f>
        <v>0</v>
      </c>
      <c r="G50" s="67">
        <f>SUMIFS(项目库明细总表!K:K,项目库明细总表!$D:$D,"公益性岗位")</f>
        <v>276</v>
      </c>
      <c r="H50" s="68"/>
    </row>
    <row r="51" s="46" customFormat="1" ht="21" customHeight="1" spans="1:8">
      <c r="A51" s="65" t="s">
        <v>58</v>
      </c>
      <c r="B51" s="57" t="s">
        <v>14</v>
      </c>
      <c r="C51" s="57"/>
      <c r="D51" s="67">
        <f>D52+D62+D67</f>
        <v>208</v>
      </c>
      <c r="E51" s="67">
        <f>E52+E62+E67</f>
        <v>11005.1763</v>
      </c>
      <c r="F51" s="67">
        <f>F52+F62+F67</f>
        <v>8790.1263</v>
      </c>
      <c r="G51" s="67">
        <f>G52+G62+G67</f>
        <v>2215.05</v>
      </c>
      <c r="H51" s="68"/>
    </row>
    <row r="52" s="46" customFormat="1" ht="21" customHeight="1" spans="1:8">
      <c r="A52" s="65"/>
      <c r="B52" s="64" t="s">
        <v>59</v>
      </c>
      <c r="C52" s="57" t="s">
        <v>16</v>
      </c>
      <c r="D52" s="67">
        <f>SUM(D53:D61)</f>
        <v>120</v>
      </c>
      <c r="E52" s="67">
        <f>SUM(E53:E61)</f>
        <v>6875.7463</v>
      </c>
      <c r="F52" s="67">
        <f>SUM(F53:F61)</f>
        <v>6420.3963</v>
      </c>
      <c r="G52" s="67">
        <f>SUM(G53:G61)</f>
        <v>455.35</v>
      </c>
      <c r="H52" s="68"/>
    </row>
    <row r="53" s="46" customFormat="1" ht="21" customHeight="1" spans="1:8">
      <c r="A53" s="65"/>
      <c r="B53" s="64"/>
      <c r="C53" s="69" t="s">
        <v>60</v>
      </c>
      <c r="D53" s="71">
        <f>COUNTIFS(项目库明细总表!D:D,"村庄规划编制（含修编）")</f>
        <v>1</v>
      </c>
      <c r="E53" s="67">
        <f>F53+G53</f>
        <v>576</v>
      </c>
      <c r="F53" s="67">
        <f>SUMIFS(项目库明细总表!J:J,项目库明细总表!$D:$D,"村庄规划编制（含修编）")</f>
        <v>576</v>
      </c>
      <c r="G53" s="67">
        <f>SUMIFS(项目库明细总表!K:K,项目库明细总表!$D:$D,"村庄规划编制（含修编）")</f>
        <v>0</v>
      </c>
      <c r="H53" s="68"/>
    </row>
    <row r="54" s="46" customFormat="1" ht="33.6" customHeight="1" spans="1:8">
      <c r="A54" s="65"/>
      <c r="B54" s="64"/>
      <c r="C54" s="72" t="s">
        <v>61</v>
      </c>
      <c r="D54" s="71">
        <f>COUNTIFS(项目库明细总表!D:D,"农村道路建设（通村路、通户路、小型桥梁等）")</f>
        <v>38</v>
      </c>
      <c r="E54" s="67">
        <f t="shared" ref="E54:E61" si="1">F54+G54</f>
        <v>2750.0463</v>
      </c>
      <c r="F54" s="67">
        <f>SUMIFS(项目库明细总表!J:J,项目库明细总表!$D:$D,"农村道路建设（通村路、通户路、小型桥梁等）")</f>
        <v>2389.5463</v>
      </c>
      <c r="G54" s="67">
        <f>SUMIFS(项目库明细总表!K:K,项目库明细总表!$D:$D,"农村道路建设（通村路、通户路、小型桥梁等）")</f>
        <v>360.5</v>
      </c>
      <c r="H54" s="68"/>
    </row>
    <row r="55" s="46" customFormat="1" ht="23" customHeight="1" spans="1:8">
      <c r="A55" s="65"/>
      <c r="B55" s="64"/>
      <c r="C55" s="66" t="s">
        <v>62</v>
      </c>
      <c r="D55" s="71">
        <f>COUNTIFS(项目库明细总表!D:D,"产业路、资源路、旅游路建设")</f>
        <v>20</v>
      </c>
      <c r="E55" s="67">
        <f t="shared" si="1"/>
        <v>647.05</v>
      </c>
      <c r="F55" s="67">
        <f>SUMIFS(项目库明细总表!J:J,项目库明细总表!$D:$D,"产业路、资源路、旅游路建设")</f>
        <v>647.05</v>
      </c>
      <c r="G55" s="67">
        <f>SUMIFS(项目库明细总表!K:K,项目库明细总表!$D:$D,"产业路、资源路、旅游路建设")</f>
        <v>0</v>
      </c>
      <c r="H55" s="68"/>
    </row>
    <row r="56" s="46" customFormat="1" ht="23" customHeight="1" spans="1:8">
      <c r="A56" s="65"/>
      <c r="B56" s="64"/>
      <c r="C56" s="66" t="s">
        <v>63</v>
      </c>
      <c r="D56" s="71">
        <f>COUNTIFS(项目库明细总表!D:D,"农村供水保障设施建设")</f>
        <v>59</v>
      </c>
      <c r="E56" s="67">
        <f t="shared" si="1"/>
        <v>2796.65</v>
      </c>
      <c r="F56" s="67">
        <f>SUMIFS(项目库明细总表!J:J,项目库明细总表!$D:$D,"农村供水保障设施建设")</f>
        <v>2701.8</v>
      </c>
      <c r="G56" s="67">
        <f>SUMIFS(项目库明细总表!K:K,项目库明细总表!$D:$D,"农村供水保障设施建设")</f>
        <v>94.85</v>
      </c>
      <c r="H56" s="68"/>
    </row>
    <row r="57" s="46" customFormat="1" ht="26" customHeight="1" spans="1:8">
      <c r="A57" s="65"/>
      <c r="B57" s="64"/>
      <c r="C57" s="72" t="s">
        <v>64</v>
      </c>
      <c r="D57" s="71">
        <f>COUNTIFS(项目库明细总表!D:D,"农村电网建设（通生产、生活用电、提高综合电压和供电可靠性）")</f>
        <v>0</v>
      </c>
      <c r="E57" s="67">
        <f t="shared" si="1"/>
        <v>0</v>
      </c>
      <c r="F57" s="67">
        <f>SUMIFS(项目库明细总表!J:J,项目库明细总表!$D:$D,"农村电网建设（通生产、生活用电、提高综合电压和供电可靠性）")</f>
        <v>0</v>
      </c>
      <c r="G57" s="67">
        <f>SUMIFS(项目库明细总表!K:K,项目库明细总表!$D:$D,"农村电网建设（通生产、生活用电、提高综合电压和供电可靠性）")</f>
        <v>0</v>
      </c>
      <c r="H57" s="68"/>
    </row>
    <row r="58" s="46" customFormat="1" ht="35" customHeight="1" spans="1:8">
      <c r="A58" s="65"/>
      <c r="B58" s="64"/>
      <c r="C58" s="66" t="s">
        <v>65</v>
      </c>
      <c r="D58" s="71">
        <f>COUNTIFS(项目库明细总表!D:D,"数字乡村建设（信息通信基础设施建设、数字化、智能化建设等）")</f>
        <v>0</v>
      </c>
      <c r="E58" s="67">
        <f t="shared" si="1"/>
        <v>0</v>
      </c>
      <c r="F58" s="67">
        <f>SUMIFS(项目库明细总表!J:J,项目库明细总表!$D:$D,"数字乡村建设（信息通信基础设施建设、数字化、智能化建设等）")</f>
        <v>0</v>
      </c>
      <c r="G58" s="67">
        <f>SUMIFS(项目库明细总表!K:K,项目库明细总表!$D:$D,"数字乡村建设（信息通信基础设施建设、数字化、智能化建设等）")</f>
        <v>0</v>
      </c>
      <c r="H58" s="68"/>
    </row>
    <row r="59" s="46" customFormat="1" ht="45" customHeight="1" spans="1:8">
      <c r="A59" s="65" t="s">
        <v>58</v>
      </c>
      <c r="B59" s="64" t="s">
        <v>59</v>
      </c>
      <c r="C59" s="73" t="s">
        <v>66</v>
      </c>
      <c r="D59" s="71">
        <f>COUNTIFS(项目库明细总表!D:D,"农村清洁能源设施建设（燃气、户用光伏、风电、水电、农村生物质能源、北方地区清洁取暖等）")</f>
        <v>0</v>
      </c>
      <c r="E59" s="67">
        <f t="shared" si="1"/>
        <v>0</v>
      </c>
      <c r="F59" s="67">
        <f>SUMIFS(项目库明细总表!J:J,项目库明细总表!$D:$D,"农村清洁能源设施建设（燃气、户用光伏、风电、水电、农村生物质能源、北方地区清洁取暖等）")</f>
        <v>0</v>
      </c>
      <c r="G59" s="67">
        <f>SUMIFS(项目库明细总表!K:K,项目库明细总表!$D:$D,"农村清洁能源设施建设（燃气、户用光伏、风电、水电、农村生物质能源、北方地区清洁取暖等）")</f>
        <v>0</v>
      </c>
      <c r="H59" s="68"/>
    </row>
    <row r="60" s="46" customFormat="1" ht="20" customHeight="1" spans="1:8">
      <c r="A60" s="65"/>
      <c r="B60" s="64"/>
      <c r="C60" s="69" t="s">
        <v>67</v>
      </c>
      <c r="D60" s="71">
        <f>COUNTIFS(项目库明细总表!D:D,"农业农村基础设施中长期贷款贴息")</f>
        <v>0</v>
      </c>
      <c r="E60" s="67">
        <f t="shared" si="1"/>
        <v>0</v>
      </c>
      <c r="F60" s="67">
        <f>SUMIFS(项目库明细总表!J:J,项目库明细总表!$D:$D,"农业农村基础设施中长期贷款贴息")</f>
        <v>0</v>
      </c>
      <c r="G60" s="67">
        <f>SUMIFS(项目库明细总表!K:K,项目库明细总表!$D:$D,"农业农村基础设施中长期贷款贴息")</f>
        <v>0</v>
      </c>
      <c r="H60" s="68"/>
    </row>
    <row r="61" s="46" customFormat="1" ht="20" customHeight="1" spans="1:8">
      <c r="A61" s="65"/>
      <c r="B61" s="64"/>
      <c r="C61" s="69" t="s">
        <v>41</v>
      </c>
      <c r="D61" s="71">
        <f>COUNTIFS(项目库明细总表!B:B,"乡村建设行动",项目库明细总表!D:D,"其他")</f>
        <v>2</v>
      </c>
      <c r="E61" s="67">
        <f t="shared" si="1"/>
        <v>106</v>
      </c>
      <c r="F61" s="67">
        <f>SUMIFS(项目库明细总表!J:J,项目库明细总表!$B:$B,"乡村建设行动",项目库明细总表!$D:$D,"其他")</f>
        <v>106</v>
      </c>
      <c r="G61" s="67">
        <f>SUMIFS(项目库明细总表!K:K,项目库明细总表!$B:$B,"乡村建设行动",项目库明细总表!$D:$D,"其他")</f>
        <v>0</v>
      </c>
      <c r="H61" s="68"/>
    </row>
    <row r="62" s="46" customFormat="1" ht="20" customHeight="1" spans="1:8">
      <c r="A62" s="65"/>
      <c r="B62" s="64" t="s">
        <v>68</v>
      </c>
      <c r="C62" s="57" t="s">
        <v>16</v>
      </c>
      <c r="D62" s="67">
        <f>SUM(D63:D66)</f>
        <v>63</v>
      </c>
      <c r="E62" s="67">
        <f>SUM(E63:E66)</f>
        <v>3430.23</v>
      </c>
      <c r="F62" s="67">
        <f>SUM(F63:F66)</f>
        <v>1905.53</v>
      </c>
      <c r="G62" s="67">
        <f>SUM(G63:G66)</f>
        <v>1524.7</v>
      </c>
      <c r="H62" s="68"/>
    </row>
    <row r="63" s="46" customFormat="1" ht="20" customHeight="1" spans="1:8">
      <c r="A63" s="65"/>
      <c r="B63" s="64"/>
      <c r="C63" s="66" t="s">
        <v>69</v>
      </c>
      <c r="D63" s="67">
        <f>COUNTIFS(项目库明细总表!D:D,"农村卫生厕所改造（户用、公共厕所）")</f>
        <v>5</v>
      </c>
      <c r="E63" s="67">
        <f>F63+G63</f>
        <v>288</v>
      </c>
      <c r="F63" s="67">
        <f>SUMIFS(项目库明细总表!J:J,项目库明细总表!$D:$D,"农村卫生厕所改造（户用、公共厕所）")</f>
        <v>173</v>
      </c>
      <c r="G63" s="67">
        <f>SUMIFS(项目库明细总表!K:K,项目库明细总表!$D:$D,"农村卫生厕所改造（户用、公共厕所）")</f>
        <v>115</v>
      </c>
      <c r="H63" s="68"/>
    </row>
    <row r="64" s="46" customFormat="1" ht="20" customHeight="1" spans="1:8">
      <c r="A64" s="65"/>
      <c r="B64" s="64"/>
      <c r="C64" s="66" t="s">
        <v>70</v>
      </c>
      <c r="D64" s="67">
        <f>COUNTIFS(项目库明细总表!D:D,"农村污水治理")</f>
        <v>2</v>
      </c>
      <c r="E64" s="67">
        <f>F64+G64</f>
        <v>35</v>
      </c>
      <c r="F64" s="67">
        <f>SUMIFS(项目库明细总表!J:J,项目库明细总表!$D:$D,"农村污水治理")</f>
        <v>35</v>
      </c>
      <c r="G64" s="67">
        <f>SUMIFS(项目库明细总表!K:K,项目库明细总表!$D:$D,"农村污水治理")</f>
        <v>0</v>
      </c>
      <c r="H64" s="68"/>
    </row>
    <row r="65" s="46" customFormat="1" ht="20" customHeight="1" spans="1:8">
      <c r="A65" s="65"/>
      <c r="B65" s="64"/>
      <c r="C65" s="66" t="s">
        <v>71</v>
      </c>
      <c r="D65" s="67">
        <f>COUNTIFS(项目库明细总表!D:D,"农村垃圾治理")</f>
        <v>0</v>
      </c>
      <c r="E65" s="67">
        <f>F65+G65</f>
        <v>0</v>
      </c>
      <c r="F65" s="67">
        <f>SUMIFS(项目库明细总表!J:J,项目库明细总表!$D:$D,"农村垃圾治理")</f>
        <v>0</v>
      </c>
      <c r="G65" s="67">
        <f>SUMIFS(项目库明细总表!K:K,项目库明细总表!$D:$D,"农村垃圾治理")</f>
        <v>0</v>
      </c>
      <c r="H65" s="68"/>
    </row>
    <row r="66" s="46" customFormat="1" ht="20" customHeight="1" spans="1:8">
      <c r="A66" s="65"/>
      <c r="B66" s="64"/>
      <c r="C66" s="66" t="s">
        <v>72</v>
      </c>
      <c r="D66" s="67">
        <f>COUNTIFS(项目库明细总表!D:D,"村容村貌提升")</f>
        <v>56</v>
      </c>
      <c r="E66" s="67">
        <f>F66+G66</f>
        <v>3107.23</v>
      </c>
      <c r="F66" s="67">
        <f>SUMIFS(项目库明细总表!J:J,项目库明细总表!$D:$D,"村容村貌提升")</f>
        <v>1697.53</v>
      </c>
      <c r="G66" s="67">
        <f>SUMIFS(项目库明细总表!K:K,项目库明细总表!$D:$D,"村容村貌提升")</f>
        <v>1409.7</v>
      </c>
      <c r="H66" s="68"/>
    </row>
    <row r="67" s="46" customFormat="1" ht="20" customHeight="1" spans="1:8">
      <c r="A67" s="65"/>
      <c r="B67" s="64" t="s">
        <v>73</v>
      </c>
      <c r="C67" s="57" t="s">
        <v>16</v>
      </c>
      <c r="D67" s="67">
        <f>SUM(D68:D73)</f>
        <v>25</v>
      </c>
      <c r="E67" s="67">
        <f>SUM(E68:E73)</f>
        <v>699.2</v>
      </c>
      <c r="F67" s="67">
        <f>SUM(F68:F73)</f>
        <v>464.2</v>
      </c>
      <c r="G67" s="67">
        <f>SUM(G68:G73)</f>
        <v>235</v>
      </c>
      <c r="H67" s="68"/>
    </row>
    <row r="68" s="46" customFormat="1" ht="28.35" customHeight="1" spans="1:8">
      <c r="A68" s="65"/>
      <c r="B68" s="64"/>
      <c r="C68" s="72" t="s">
        <v>74</v>
      </c>
      <c r="D68" s="67">
        <f>COUNTIFS(项目库明细总表!D:D,"学校建设或改造（含幼儿园）")</f>
        <v>0</v>
      </c>
      <c r="E68" s="67">
        <f t="shared" ref="E68:E73" si="2">F68+G68</f>
        <v>0</v>
      </c>
      <c r="F68" s="67">
        <f>SUMIFS(项目库明细总表!J:J,项目库明细总表!$D:$D,"学校建设或改造（含幼儿园）")</f>
        <v>0</v>
      </c>
      <c r="G68" s="67">
        <f>SUMIFS(项目库明细总表!K:K,项目库明细总表!$D:$D,"学校建设或改造（含幼儿园）")</f>
        <v>0</v>
      </c>
      <c r="H68" s="68"/>
    </row>
    <row r="69" s="46" customFormat="1" ht="27.6" customHeight="1" spans="1:8">
      <c r="A69" s="65"/>
      <c r="B69" s="64"/>
      <c r="C69" s="66" t="s">
        <v>75</v>
      </c>
      <c r="D69" s="67">
        <f>COUNTIFS(项目库明细总表!D:D,"村卫生室标准化建设")</f>
        <v>0</v>
      </c>
      <c r="E69" s="67">
        <f t="shared" si="2"/>
        <v>0</v>
      </c>
      <c r="F69" s="67">
        <f>SUMIFS(项目库明细总表!J:J,项目库明细总表!$D:$D,"村卫生室标准化建设")</f>
        <v>0</v>
      </c>
      <c r="G69" s="67">
        <f>SUMIFS(项目库明细总表!K:K,项目库明细总表!$D:$D,"村卫生室标准化建设")</f>
        <v>0</v>
      </c>
      <c r="H69" s="68"/>
    </row>
    <row r="70" s="46" customFormat="1" ht="24" customHeight="1" spans="1:8">
      <c r="A70" s="65"/>
      <c r="B70" s="64"/>
      <c r="C70" s="66" t="s">
        <v>76</v>
      </c>
      <c r="D70" s="67">
        <f>COUNTIFS(项目库明细总表!D:D,"农村养老设施建设（养老院、幸福院、日间照料中心等）")</f>
        <v>0</v>
      </c>
      <c r="E70" s="67">
        <f t="shared" si="2"/>
        <v>0</v>
      </c>
      <c r="F70" s="67">
        <f>SUMIFS(项目库明细总表!J:J,项目库明细总表!$D:$D,"农村养老设施建设（养老院、幸福院、日间照料中心等）")</f>
        <v>0</v>
      </c>
      <c r="G70" s="67">
        <f>SUMIFS(项目库明细总表!K:K,项目库明细总表!$D:$D,"农村养老设施建设（养老院、幸福院、日间照料中心等）")</f>
        <v>0</v>
      </c>
      <c r="H70" s="68"/>
    </row>
    <row r="71" s="46" customFormat="1" ht="26.1" customHeight="1" spans="1:8">
      <c r="A71" s="65"/>
      <c r="B71" s="64"/>
      <c r="C71" s="66" t="s">
        <v>77</v>
      </c>
      <c r="D71" s="67">
        <f>COUNTIFS(项目库明细总表!D:D,"公共照明设施")</f>
        <v>25</v>
      </c>
      <c r="E71" s="67">
        <f t="shared" si="2"/>
        <v>699.2</v>
      </c>
      <c r="F71" s="67">
        <f>SUMIFS(项目库明细总表!J:J,项目库明细总表!$D:$D,"公共照明设施")</f>
        <v>464.2</v>
      </c>
      <c r="G71" s="67">
        <f>SUMIFS(项目库明细总表!K:K,项目库明细总表!$D:$D,"公共照明设施")</f>
        <v>235</v>
      </c>
      <c r="H71" s="68"/>
    </row>
    <row r="72" s="46" customFormat="1" ht="24" customHeight="1" spans="1:8">
      <c r="A72" s="65"/>
      <c r="B72" s="64"/>
      <c r="C72" s="66" t="s">
        <v>78</v>
      </c>
      <c r="D72" s="67">
        <f>COUNTIFS(项目库明细总表!D:D,"开展县乡村公共服务一体化示范创建")</f>
        <v>0</v>
      </c>
      <c r="E72" s="67">
        <f t="shared" si="2"/>
        <v>0</v>
      </c>
      <c r="F72" s="67">
        <f>SUMIFS(项目库明细总表!J:J,项目库明细总表!$D:$D,"开展县乡村公共服务一体化示范创建")</f>
        <v>0</v>
      </c>
      <c r="G72" s="67">
        <f>SUMIFS(项目库明细总表!K:K,项目库明细总表!$D:$D,"开展县乡村公共服务一体化示范创建")</f>
        <v>0</v>
      </c>
      <c r="H72" s="68"/>
    </row>
    <row r="73" s="46" customFormat="1" ht="40" customHeight="1" spans="1:8">
      <c r="A73" s="65"/>
      <c r="B73" s="64"/>
      <c r="C73" s="66" t="s">
        <v>79</v>
      </c>
      <c r="D73" s="67">
        <f>COUNTIFS(项目库明细总表!D:D,"其他（便民综合服务设施、文化活动广场、体育设施、村级客运站、农村公益性殡葬设施建设等）")</f>
        <v>0</v>
      </c>
      <c r="E73" s="67">
        <f t="shared" si="2"/>
        <v>0</v>
      </c>
      <c r="F73" s="67">
        <f>SUMIFS(项目库明细总表!J:J,项目库明细总表!$D:$D,"其他（便民综合服务设施、文化活动广场、体育设施、村级客运站、农村公益性殡葬设施建设等）")</f>
        <v>0</v>
      </c>
      <c r="G73" s="67">
        <f>SUMIFS(项目库明细总表!K:K,项目库明细总表!$D:$D,"其他（便民综合服务设施、文化活动广场、体育设施、村级客运站、农村公益性殡葬设施建设等）")</f>
        <v>0</v>
      </c>
      <c r="H73" s="68"/>
    </row>
    <row r="74" s="46" customFormat="1" ht="23" customHeight="1" spans="1:8">
      <c r="A74" s="65" t="s">
        <v>80</v>
      </c>
      <c r="B74" s="57" t="s">
        <v>14</v>
      </c>
      <c r="C74" s="57"/>
      <c r="D74" s="67">
        <f>SUM(D75:D77)</f>
        <v>1</v>
      </c>
      <c r="E74" s="67">
        <f>SUM(E75:E77)</f>
        <v>20</v>
      </c>
      <c r="F74" s="67">
        <f>SUM(F75:F77)</f>
        <v>20</v>
      </c>
      <c r="G74" s="67">
        <f>SUM(G75:G77)</f>
        <v>0</v>
      </c>
      <c r="H74" s="68"/>
    </row>
    <row r="75" s="46" customFormat="1" ht="23" customHeight="1" spans="1:8">
      <c r="A75" s="65"/>
      <c r="B75" s="67" t="s">
        <v>80</v>
      </c>
      <c r="C75" s="66" t="s">
        <v>81</v>
      </c>
      <c r="D75" s="67">
        <f>COUNTIFS(项目库明细总表!D:D,"公共服务岗位")</f>
        <v>0</v>
      </c>
      <c r="E75" s="67">
        <f>F75+G75</f>
        <v>0</v>
      </c>
      <c r="F75" s="67">
        <f>SUMIFS(项目库明细总表!J:J,项目库明细总表!$D:$D,"公共服务岗位")</f>
        <v>0</v>
      </c>
      <c r="G75" s="67">
        <f>SUMIFS(项目库明细总表!K:K,项目库明细总表!$D:$D,"公共服务岗位")</f>
        <v>0</v>
      </c>
      <c r="H75" s="68"/>
    </row>
    <row r="76" s="46" customFormat="1" ht="23" customHeight="1" spans="1:8">
      <c r="A76" s="65"/>
      <c r="B76" s="67"/>
      <c r="C76" s="66" t="s">
        <v>82</v>
      </c>
      <c r="D76" s="67">
        <f>COUNTIFS(项目库明细总表!D:D,"“一站式”社区综合服务设施建设")</f>
        <v>1</v>
      </c>
      <c r="E76" s="67">
        <f>F76+G76</f>
        <v>20</v>
      </c>
      <c r="F76" s="67">
        <f>SUMIFS(项目库明细总表!J:J,项目库明细总表!$D:$D,"“一站式”社区综合服务设施建设")</f>
        <v>20</v>
      </c>
      <c r="G76" s="67">
        <f>SUMIFS(项目库明细总表!K:K,项目库明细总表!$D:$D,"“一站式”社区综合服务设施建设")</f>
        <v>0</v>
      </c>
      <c r="H76" s="68"/>
    </row>
    <row r="77" s="46" customFormat="1" ht="23" customHeight="1" spans="1:8">
      <c r="A77" s="65"/>
      <c r="B77" s="67"/>
      <c r="C77" s="69" t="s">
        <v>83</v>
      </c>
      <c r="D77" s="67">
        <f>COUNTIFS(项目库明细总表!D:D,"易地扶贫搬迁贷款债券贴息补助")</f>
        <v>0</v>
      </c>
      <c r="E77" s="67">
        <f>F77+G77</f>
        <v>0</v>
      </c>
      <c r="F77" s="67">
        <f>SUMIFS(项目库明细总表!J:J,项目库明细总表!$D:$D,"易地扶贫搬迁贷款债券贴息补助")</f>
        <v>0</v>
      </c>
      <c r="G77" s="67">
        <f>SUMIFS(项目库明细总表!K:K,项目库明细总表!$D:$D,"易地扶贫搬迁贷款债券贴息补助")</f>
        <v>0</v>
      </c>
      <c r="H77" s="68"/>
    </row>
    <row r="78" s="46" customFormat="1" ht="23" customHeight="1" spans="1:8">
      <c r="A78" s="65" t="s">
        <v>84</v>
      </c>
      <c r="B78" s="57" t="s">
        <v>14</v>
      </c>
      <c r="C78" s="57"/>
      <c r="D78" s="67">
        <f>D79+D81+D85+D92</f>
        <v>9</v>
      </c>
      <c r="E78" s="67">
        <f>E79+E81+E85+E92</f>
        <v>1812.5</v>
      </c>
      <c r="F78" s="67">
        <f>F79+F81+F85+F92</f>
        <v>40.2</v>
      </c>
      <c r="G78" s="67">
        <f>G79+G81+G85+G92</f>
        <v>1772.3</v>
      </c>
      <c r="H78" s="68"/>
    </row>
    <row r="79" s="46" customFormat="1" ht="23" customHeight="1" spans="1:8">
      <c r="A79" s="65"/>
      <c r="B79" s="64" t="s">
        <v>85</v>
      </c>
      <c r="C79" s="57" t="s">
        <v>16</v>
      </c>
      <c r="D79" s="67">
        <f>D80</f>
        <v>0</v>
      </c>
      <c r="E79" s="67">
        <f>E80</f>
        <v>0</v>
      </c>
      <c r="F79" s="67">
        <f>F80</f>
        <v>0</v>
      </c>
      <c r="G79" s="67">
        <f>G80</f>
        <v>0</v>
      </c>
      <c r="H79" s="68"/>
    </row>
    <row r="80" s="46" customFormat="1" ht="23" customHeight="1" spans="1:8">
      <c r="A80" s="65"/>
      <c r="B80" s="64"/>
      <c r="C80" s="74" t="s">
        <v>86</v>
      </c>
      <c r="D80" s="67">
        <f>COUNTIFS(项目库明细总表!D:D,"农村危房改造等农房改造")</f>
        <v>0</v>
      </c>
      <c r="E80" s="67">
        <f>F80+G80</f>
        <v>0</v>
      </c>
      <c r="F80" s="67">
        <f>SUMIFS(项目库明细总表!J:J,项目库明细总表!$D:$D,"农村危房改造等农房改造")</f>
        <v>0</v>
      </c>
      <c r="G80" s="67">
        <f>SUMIFS(项目库明细总表!K:K,项目库明细总表!$D:$D,"农村危房改造等农房改造")</f>
        <v>0</v>
      </c>
      <c r="H80" s="68"/>
    </row>
    <row r="81" s="46" customFormat="1" ht="23" customHeight="1" spans="1:8">
      <c r="A81" s="65"/>
      <c r="B81" s="64" t="s">
        <v>87</v>
      </c>
      <c r="C81" s="57" t="s">
        <v>16</v>
      </c>
      <c r="D81" s="67">
        <f>SUM(D82:D84)</f>
        <v>4</v>
      </c>
      <c r="E81" s="67">
        <f>SUM(E82:E84)</f>
        <v>123</v>
      </c>
      <c r="F81" s="67">
        <f>SUM(F82:F84)</f>
        <v>40.2</v>
      </c>
      <c r="G81" s="67">
        <f>SUM(G82:G84)</f>
        <v>82.8</v>
      </c>
      <c r="H81" s="68"/>
    </row>
    <row r="82" s="46" customFormat="1" ht="19" customHeight="1" spans="1:8">
      <c r="A82" s="65"/>
      <c r="B82" s="64"/>
      <c r="C82" s="66" t="s">
        <v>88</v>
      </c>
      <c r="D82" s="67">
        <f>COUNTIFS(项目库明细总表!D:D,"享受“雨露计划”职业教育补助")</f>
        <v>1</v>
      </c>
      <c r="E82" s="67">
        <f>F82+G82</f>
        <v>40.2</v>
      </c>
      <c r="F82" s="67">
        <f>SUMIFS(项目库明细总表!J:J,项目库明细总表!$D:$D,"享受“雨露计划”职业教育补助")</f>
        <v>40.2</v>
      </c>
      <c r="G82" s="67">
        <f>SUMIFS(项目库明细总表!K:K,项目库明细总表!$D:$D,"享受“雨露计划”职业教育补助")</f>
        <v>0</v>
      </c>
      <c r="H82" s="68"/>
    </row>
    <row r="83" s="46" customFormat="1" ht="23" customHeight="1" spans="1:8">
      <c r="A83" s="65"/>
      <c r="B83" s="64"/>
      <c r="C83" s="66" t="s">
        <v>89</v>
      </c>
      <c r="D83" s="67">
        <f>COUNTIFS(项目库明细总表!D:D,"参与“学前学会普通话”行动")</f>
        <v>0</v>
      </c>
      <c r="E83" s="67">
        <f>F83+G83</f>
        <v>0</v>
      </c>
      <c r="F83" s="67">
        <f>SUMIFS(项目库明细总表!J:J,项目库明细总表!$D:$D,"参与“学前学会普通话”行动")</f>
        <v>0</v>
      </c>
      <c r="G83" s="67">
        <f>SUMIFS(项目库明细总表!K:K,项目库明细总表!$D:$D,"参与“学前学会普通话”行动")</f>
        <v>0</v>
      </c>
      <c r="H83" s="68"/>
    </row>
    <row r="84" s="46" customFormat="1" ht="23" customHeight="1" spans="1:8">
      <c r="A84" s="65"/>
      <c r="B84" s="64"/>
      <c r="C84" s="66" t="s">
        <v>90</v>
      </c>
      <c r="D84" s="67">
        <f>COUNTIFS(项目库明细总表!D:D,"其他教育类项目")</f>
        <v>3</v>
      </c>
      <c r="E84" s="67">
        <f>F84+G84</f>
        <v>82.8</v>
      </c>
      <c r="F84" s="67">
        <f>SUMIFS(项目库明细总表!J:J,项目库明细总表!$D:$D,"其他教育类项目")</f>
        <v>0</v>
      </c>
      <c r="G84" s="67">
        <f>SUMIFS(项目库明细总表!K:K,项目库明细总表!$D:$D,"其他教育类项目")</f>
        <v>82.8</v>
      </c>
      <c r="H84" s="68"/>
    </row>
    <row r="85" s="46" customFormat="1" ht="23" customHeight="1" spans="1:8">
      <c r="A85" s="65"/>
      <c r="B85" s="64" t="s">
        <v>91</v>
      </c>
      <c r="C85" s="57" t="s">
        <v>16</v>
      </c>
      <c r="D85" s="67">
        <f>SUM(D86:D91)</f>
        <v>2</v>
      </c>
      <c r="E85" s="67">
        <f>SUM(E86:E91)</f>
        <v>299.5</v>
      </c>
      <c r="F85" s="67">
        <f>SUM(F86:F91)</f>
        <v>0</v>
      </c>
      <c r="G85" s="67">
        <f>SUM(G86:G91)</f>
        <v>299.5</v>
      </c>
      <c r="H85" s="68"/>
    </row>
    <row r="86" s="46" customFormat="1" ht="19" customHeight="1" spans="1:8">
      <c r="A86" s="65"/>
      <c r="B86" s="64"/>
      <c r="C86" s="66" t="s">
        <v>92</v>
      </c>
      <c r="D86" s="67">
        <f>COUNTIFS(项目库明细总表!D:D,"参加城乡居民基本医疗保险")</f>
        <v>1</v>
      </c>
      <c r="E86" s="67">
        <f t="shared" ref="E86:E91" si="3">F86+G86</f>
        <v>129.5</v>
      </c>
      <c r="F86" s="67">
        <f>SUMIFS(项目库明细总表!J:J,项目库明细总表!$D:$D,"参加城乡居民基本医疗保险")</f>
        <v>0</v>
      </c>
      <c r="G86" s="67">
        <f>SUMIFS(项目库明细总表!K:K,项目库明细总表!$D:$D,"参加城乡居民基本医疗保险")</f>
        <v>129.5</v>
      </c>
      <c r="H86" s="68"/>
    </row>
    <row r="87" s="46" customFormat="1" ht="19" customHeight="1" spans="1:8">
      <c r="A87" s="65"/>
      <c r="B87" s="64"/>
      <c r="C87" s="66" t="s">
        <v>93</v>
      </c>
      <c r="D87" s="67">
        <f>COUNTIFS(项目库明细总表!D:D,"参加大病保险")</f>
        <v>0</v>
      </c>
      <c r="E87" s="67">
        <f t="shared" si="3"/>
        <v>0</v>
      </c>
      <c r="F87" s="67">
        <f>SUMIFS(项目库明细总表!J:J,项目库明细总表!$D:$D,"参加大病保险")</f>
        <v>0</v>
      </c>
      <c r="G87" s="67">
        <f>SUMIFS(项目库明细总表!K:K,项目库明细总表!$D:$D,"参加大病保险")</f>
        <v>0</v>
      </c>
      <c r="H87" s="68"/>
    </row>
    <row r="88" s="46" customFormat="1" ht="19" customHeight="1" spans="1:8">
      <c r="A88" s="65"/>
      <c r="B88" s="64"/>
      <c r="C88" s="66" t="s">
        <v>94</v>
      </c>
      <c r="D88" s="67">
        <f>COUNTIFS(项目库明细总表!D:D,"参加意外保险")</f>
        <v>0</v>
      </c>
      <c r="E88" s="67">
        <f t="shared" si="3"/>
        <v>0</v>
      </c>
      <c r="F88" s="67">
        <f>SUMIFS(项目库明细总表!J:J,项目库明细总表!$D:$D,"参加意外保险")</f>
        <v>0</v>
      </c>
      <c r="G88" s="67">
        <f>SUMIFS(项目库明细总表!K:K,项目库明细总表!$D:$D,"参加意外保险")</f>
        <v>0</v>
      </c>
      <c r="H88" s="68"/>
    </row>
    <row r="89" s="46" customFormat="1" ht="23" customHeight="1" spans="1:8">
      <c r="A89" s="65"/>
      <c r="B89" s="64"/>
      <c r="C89" s="66" t="s">
        <v>95</v>
      </c>
      <c r="D89" s="67">
        <f>COUNTIFS(项目库明细总表!D:D,"参加其他补充医疗保险")</f>
        <v>0</v>
      </c>
      <c r="E89" s="67">
        <f t="shared" si="3"/>
        <v>0</v>
      </c>
      <c r="F89" s="67">
        <f>SUMIFS(项目库明细总表!J:J,项目库明细总表!$D:$D,"参加其他补充医疗保险")</f>
        <v>0</v>
      </c>
      <c r="G89" s="67">
        <f>SUMIFS(项目库明细总表!K:K,项目库明细总表!$D:$D,"参加其他补充医疗保险")</f>
        <v>0</v>
      </c>
      <c r="H89" s="68"/>
    </row>
    <row r="90" s="46" customFormat="1" ht="19" customHeight="1" spans="1:8">
      <c r="A90" s="65"/>
      <c r="B90" s="64"/>
      <c r="C90" s="66" t="s">
        <v>96</v>
      </c>
      <c r="D90" s="67">
        <f>COUNTIFS(项目库明细总表!D:D,"接受医疗救助")</f>
        <v>1</v>
      </c>
      <c r="E90" s="67">
        <f t="shared" si="3"/>
        <v>170</v>
      </c>
      <c r="F90" s="67">
        <f>SUMIFS(项目库明细总表!J:J,项目库明细总表!$D:$D,"接受医疗救助")</f>
        <v>0</v>
      </c>
      <c r="G90" s="67">
        <f>SUMIFS(项目库明细总表!K:K,项目库明细总表!$D:$D,"接受医疗救助")</f>
        <v>170</v>
      </c>
      <c r="H90" s="68"/>
    </row>
    <row r="91" s="46" customFormat="1" ht="21" customHeight="1" spans="1:8">
      <c r="A91" s="65"/>
      <c r="B91" s="64"/>
      <c r="C91" s="66" t="s">
        <v>97</v>
      </c>
      <c r="D91" s="67">
        <f>COUNTIFS(项目库明细总表!D:D,"接受大病、慢性病(地方病)救治")</f>
        <v>0</v>
      </c>
      <c r="E91" s="67">
        <f t="shared" si="3"/>
        <v>0</v>
      </c>
      <c r="F91" s="67">
        <f>SUMIFS(项目库明细总表!J:J,项目库明细总表!$D:$D,"接受大病、慢性病(地方病)救治")</f>
        <v>0</v>
      </c>
      <c r="G91" s="67">
        <f>SUMIFS(项目库明细总表!K:K,项目库明细总表!$D:$D,"接受大病、慢性病(地方病)救治")</f>
        <v>0</v>
      </c>
      <c r="H91" s="68"/>
    </row>
    <row r="92" s="46" customFormat="1" ht="23" customHeight="1" spans="1:8">
      <c r="A92" s="65"/>
      <c r="B92" s="64" t="s">
        <v>98</v>
      </c>
      <c r="C92" s="57" t="s">
        <v>16</v>
      </c>
      <c r="D92" s="67">
        <f>SUM(D93:D98)</f>
        <v>3</v>
      </c>
      <c r="E92" s="67">
        <f>SUM(E93:E98)</f>
        <v>1390</v>
      </c>
      <c r="F92" s="67">
        <f>SUM(F93:F98)</f>
        <v>0</v>
      </c>
      <c r="G92" s="67">
        <f>SUM(G93:G98)</f>
        <v>1390</v>
      </c>
      <c r="H92" s="68"/>
    </row>
    <row r="93" s="46" customFormat="1" ht="23" customHeight="1" spans="1:8">
      <c r="A93" s="65"/>
      <c r="B93" s="64"/>
      <c r="C93" s="66" t="s">
        <v>99</v>
      </c>
      <c r="D93" s="67">
        <f>COUNTIFS(项目库明细总表!D:D,"享受农村居民最低生活保障")</f>
        <v>1</v>
      </c>
      <c r="E93" s="67">
        <f t="shared" ref="E93:E98" si="4">F93+G93</f>
        <v>700</v>
      </c>
      <c r="F93" s="67">
        <f>SUMIFS(项目库明细总表!J:J,项目库明细总表!$D:$D,"享受农村居民最低生活保障")</f>
        <v>0</v>
      </c>
      <c r="G93" s="67">
        <f>SUMIFS(项目库明细总表!K:K,项目库明细总表!$D:$D,"享受农村居民最低生活保障")</f>
        <v>700</v>
      </c>
      <c r="H93" s="68"/>
    </row>
    <row r="94" s="46" customFormat="1" ht="23" customHeight="1" spans="1:8">
      <c r="A94" s="65"/>
      <c r="B94" s="64"/>
      <c r="C94" s="66" t="s">
        <v>100</v>
      </c>
      <c r="D94" s="67">
        <f>COUNTIFS(项目库明细总表!D:D,"参加城乡居民基本养老保险")</f>
        <v>0</v>
      </c>
      <c r="E94" s="67">
        <f t="shared" si="4"/>
        <v>0</v>
      </c>
      <c r="F94" s="67">
        <f>SUMIFS(项目库明细总表!J:J,项目库明细总表!$D:$D,"参加城乡居民基本养老保险")</f>
        <v>0</v>
      </c>
      <c r="G94" s="67">
        <f>SUMIFS(项目库明细总表!K:K,项目库明细总表!$D:$D,"参加城乡居民基本养老保险")</f>
        <v>0</v>
      </c>
      <c r="H94" s="68"/>
    </row>
    <row r="95" s="46" customFormat="1" ht="23" customHeight="1" spans="1:8">
      <c r="A95" s="65"/>
      <c r="B95" s="64"/>
      <c r="C95" s="66" t="s">
        <v>101</v>
      </c>
      <c r="D95" s="67">
        <f>COUNTIFS(项目库明细总表!D:D,"享受特困人员救助供养")</f>
        <v>1</v>
      </c>
      <c r="E95" s="67">
        <f t="shared" si="4"/>
        <v>600</v>
      </c>
      <c r="F95" s="67">
        <f>SUMIFS(项目库明细总表!J:J,项目库明细总表!$D:$D,"享受特困人员救助供养")</f>
        <v>0</v>
      </c>
      <c r="G95" s="67">
        <f>SUMIFS(项目库明细总表!K:K,项目库明细总表!$D:$D,"享受特困人员救助供养")</f>
        <v>600</v>
      </c>
      <c r="H95" s="68"/>
    </row>
    <row r="96" s="46" customFormat="1" ht="23" customHeight="1" spans="1:8">
      <c r="A96" s="65"/>
      <c r="B96" s="64"/>
      <c r="C96" s="66" t="s">
        <v>102</v>
      </c>
      <c r="D96" s="67">
        <f>COUNTIFS(项目库明细总表!D:D,"接受留守关爱服务")</f>
        <v>0</v>
      </c>
      <c r="E96" s="67">
        <f t="shared" si="4"/>
        <v>0</v>
      </c>
      <c r="F96" s="67">
        <f>SUMIFS(项目库明细总表!J:J,项目库明细总表!$D:$D,"接受留守关爱服务")</f>
        <v>0</v>
      </c>
      <c r="G96" s="67">
        <f>SUMIFS(项目库明细总表!K:K,项目库明细总表!$D:$D,"接受留守关爱服务")</f>
        <v>0</v>
      </c>
      <c r="H96" s="68"/>
    </row>
    <row r="97" s="46" customFormat="1" ht="23" customHeight="1" spans="1:8">
      <c r="A97" s="65"/>
      <c r="B97" s="64"/>
      <c r="C97" s="66" t="s">
        <v>103</v>
      </c>
      <c r="D97" s="67">
        <f>COUNTIFS(项目库明细总表!D:D,"接受临时救助")</f>
        <v>1</v>
      </c>
      <c r="E97" s="67">
        <f t="shared" si="4"/>
        <v>90</v>
      </c>
      <c r="F97" s="67">
        <f>SUMIFS(项目库明细总表!J:J,项目库明细总表!$D:$D,"接受临时救助")</f>
        <v>0</v>
      </c>
      <c r="G97" s="67">
        <f>SUMIFS(项目库明细总表!K:K,项目库明细总表!$D:$D,"接受临时救助")</f>
        <v>90</v>
      </c>
      <c r="H97" s="68"/>
    </row>
    <row r="98" s="46" customFormat="1" ht="23" customHeight="1" spans="1:8">
      <c r="A98" s="65"/>
      <c r="B98" s="64"/>
      <c r="C98" s="66" t="s">
        <v>104</v>
      </c>
      <c r="D98" s="67">
        <f>COUNTIFS(项目库明细总表!D:D,"防贫保险（基金）")</f>
        <v>0</v>
      </c>
      <c r="E98" s="67">
        <f t="shared" si="4"/>
        <v>0</v>
      </c>
      <c r="F98" s="67">
        <f>SUMIFS(项目库明细总表!J:J,项目库明细总表!$D:$D,"防贫保险（基金）")</f>
        <v>0</v>
      </c>
      <c r="G98" s="67">
        <f>SUMIFS(项目库明细总表!K:K,项目库明细总表!$D:$D,"防贫保险（基金）")</f>
        <v>0</v>
      </c>
      <c r="H98" s="68"/>
    </row>
    <row r="99" s="46" customFormat="1" ht="23" customHeight="1" spans="1:8">
      <c r="A99" s="64" t="s">
        <v>105</v>
      </c>
      <c r="B99" s="57" t="s">
        <v>14</v>
      </c>
      <c r="C99" s="57"/>
      <c r="D99" s="67">
        <f>D100+D103</f>
        <v>0</v>
      </c>
      <c r="E99" s="67">
        <f>E100+E103</f>
        <v>0</v>
      </c>
      <c r="F99" s="67">
        <f>F100+F103</f>
        <v>0</v>
      </c>
      <c r="G99" s="67">
        <f>G100+G103</f>
        <v>0</v>
      </c>
      <c r="H99" s="68"/>
    </row>
    <row r="100" s="46" customFormat="1" ht="23" customHeight="1" spans="1:8">
      <c r="A100" s="64"/>
      <c r="B100" s="64" t="s">
        <v>106</v>
      </c>
      <c r="C100" s="57" t="s">
        <v>16</v>
      </c>
      <c r="D100" s="67">
        <f>SUM(D101:D102)</f>
        <v>0</v>
      </c>
      <c r="E100" s="67">
        <f>SUM(E101:E102)</f>
        <v>0</v>
      </c>
      <c r="F100" s="67">
        <f>SUM(F101:F102)</f>
        <v>0</v>
      </c>
      <c r="G100" s="67">
        <f>SUM(G101:G102)</f>
        <v>0</v>
      </c>
      <c r="H100" s="68"/>
    </row>
    <row r="101" s="46" customFormat="1" ht="23" customHeight="1" spans="1:8">
      <c r="A101" s="64"/>
      <c r="B101" s="64"/>
      <c r="C101" s="74" t="s">
        <v>107</v>
      </c>
      <c r="D101" s="67">
        <f>COUNTIFS(项目库明细总表!D:D,"开展乡村治理示范创建")</f>
        <v>0</v>
      </c>
      <c r="E101" s="67">
        <f>F101+G101</f>
        <v>0</v>
      </c>
      <c r="F101" s="67">
        <f>SUMIFS(项目库明细总表!J:J,项目库明细总表!$D:$D,"开展乡村治理示范创建")</f>
        <v>0</v>
      </c>
      <c r="G101" s="67">
        <f>SUMIFS(项目库明细总表!K:K,项目库明细总表!$D:$D,"开展乡村治理示范创建")</f>
        <v>0</v>
      </c>
      <c r="H101" s="68"/>
    </row>
    <row r="102" s="46" customFormat="1" ht="23" customHeight="1" spans="1:8">
      <c r="A102" s="64"/>
      <c r="B102" s="64"/>
      <c r="C102" s="74" t="s">
        <v>108</v>
      </c>
      <c r="D102" s="67">
        <f>COUNTIFS(项目库明细总表!D:D,"推进“积分制”“清单式”等管理方式")</f>
        <v>0</v>
      </c>
      <c r="E102" s="67">
        <f>F102+G102</f>
        <v>0</v>
      </c>
      <c r="F102" s="67">
        <f>SUMIFS(项目库明细总表!J:J,项目库明细总表!$D:$D,"推进“积分制”“清单式”等管理方式")</f>
        <v>0</v>
      </c>
      <c r="G102" s="67">
        <f>SUMIFS(项目库明细总表!K:K,项目库明细总表!$D:$D,"推进“积分制”“清单式”等管理方式")</f>
        <v>0</v>
      </c>
      <c r="H102" s="68"/>
    </row>
    <row r="103" s="46" customFormat="1" ht="23" customHeight="1" spans="1:8">
      <c r="A103" s="64"/>
      <c r="B103" s="64" t="s">
        <v>109</v>
      </c>
      <c r="C103" s="57" t="s">
        <v>16</v>
      </c>
      <c r="D103" s="67">
        <f>SUM(D104:D107)</f>
        <v>0</v>
      </c>
      <c r="E103" s="67">
        <f>SUM(E104:E107)</f>
        <v>0</v>
      </c>
      <c r="F103" s="67">
        <f>SUM(F104:F107)</f>
        <v>0</v>
      </c>
      <c r="G103" s="67">
        <f>SUM(G104:G107)</f>
        <v>0</v>
      </c>
      <c r="H103" s="68"/>
    </row>
    <row r="104" s="46" customFormat="1" ht="23" customHeight="1" spans="1:8">
      <c r="A104" s="64"/>
      <c r="B104" s="64"/>
      <c r="C104" s="74" t="s">
        <v>110</v>
      </c>
      <c r="D104" s="67">
        <f>COUNTIFS(项目库明细总表!D:D,"培养“四有”新时代农民")</f>
        <v>0</v>
      </c>
      <c r="E104" s="67">
        <f>F104+G104</f>
        <v>0</v>
      </c>
      <c r="F104" s="67">
        <f>SUMIFS(项目库明细总表!J:J,项目库明细总表!$D:$D,"培养“四有”新时代农民")</f>
        <v>0</v>
      </c>
      <c r="G104" s="67">
        <f>SUMIFS(项目库明细总表!K:K,项目库明细总表!$D:$D,"培养“四有”新时代农民")</f>
        <v>0</v>
      </c>
      <c r="H104" s="68"/>
    </row>
    <row r="105" s="46" customFormat="1" ht="23" customHeight="1" spans="1:8">
      <c r="A105" s="64"/>
      <c r="B105" s="64"/>
      <c r="C105" s="74" t="s">
        <v>111</v>
      </c>
      <c r="D105" s="67">
        <f>COUNTIFS(项目库明细总表!D:D,"移风易俗")</f>
        <v>0</v>
      </c>
      <c r="E105" s="67">
        <f>F105+G105</f>
        <v>0</v>
      </c>
      <c r="F105" s="67">
        <f>SUMIFS(项目库明细总表!J:J,项目库明细总表!$D:$D,"移风易俗")</f>
        <v>0</v>
      </c>
      <c r="G105" s="67">
        <f>SUMIFS(项目库明细总表!K:K,项目库明细总表!$D:$D,"移风易俗")</f>
        <v>0</v>
      </c>
      <c r="H105" s="68"/>
    </row>
    <row r="106" s="46" customFormat="1" ht="23" customHeight="1" spans="1:8">
      <c r="A106" s="64"/>
      <c r="B106" s="64"/>
      <c r="C106" s="74" t="s">
        <v>112</v>
      </c>
      <c r="D106" s="67">
        <f>COUNTIFS(项目库明细总表!D:D,"科技文化卫生“三下乡”")</f>
        <v>0</v>
      </c>
      <c r="E106" s="67">
        <f>F106+G106</f>
        <v>0</v>
      </c>
      <c r="F106" s="67">
        <f>SUMIFS(项目库明细总表!J:J,项目库明细总表!$D:$D,"科技文化卫生“三下乡”")</f>
        <v>0</v>
      </c>
      <c r="G106" s="67">
        <f>SUMIFS(项目库明细总表!K:K,项目库明细总表!$D:$D,"科技文化卫生“三下乡”")</f>
        <v>0</v>
      </c>
      <c r="H106" s="68"/>
    </row>
    <row r="107" s="46" customFormat="1" ht="23" customHeight="1" spans="1:8">
      <c r="A107" s="64"/>
      <c r="B107" s="64"/>
      <c r="C107" s="74" t="s">
        <v>113</v>
      </c>
      <c r="D107" s="67">
        <f>COUNTIFS(项目库明细总表!D:D,"农村文化体育项目")</f>
        <v>0</v>
      </c>
      <c r="E107" s="67">
        <f>F107+G107</f>
        <v>0</v>
      </c>
      <c r="F107" s="67">
        <f>SUMIFS(项目库明细总表!J:J,项目库明细总表!$D:$D,"农村文化体育项目")</f>
        <v>0</v>
      </c>
      <c r="G107" s="67">
        <f>SUMIFS(项目库明细总表!K:K,项目库明细总表!$D:$D,"农村文化体育项目")</f>
        <v>0</v>
      </c>
      <c r="H107" s="68"/>
    </row>
    <row r="108" s="46" customFormat="1" ht="23" customHeight="1" spans="1:8">
      <c r="A108" s="64" t="s">
        <v>114</v>
      </c>
      <c r="B108" s="57" t="s">
        <v>14</v>
      </c>
      <c r="C108" s="57"/>
      <c r="D108" s="67">
        <f>D109</f>
        <v>1</v>
      </c>
      <c r="E108" s="67">
        <f>E109</f>
        <v>200</v>
      </c>
      <c r="F108" s="67">
        <f>F109</f>
        <v>200</v>
      </c>
      <c r="G108" s="67">
        <f>G109</f>
        <v>0</v>
      </c>
      <c r="H108" s="68"/>
    </row>
    <row r="109" s="46" customFormat="1" ht="23" customHeight="1" spans="1:8">
      <c r="A109" s="64"/>
      <c r="B109" s="64" t="s">
        <v>114</v>
      </c>
      <c r="C109" s="74" t="s">
        <v>114</v>
      </c>
      <c r="D109" s="67">
        <f>COUNTIFS(项目库明细总表!D:D,"项目管理费")</f>
        <v>1</v>
      </c>
      <c r="E109" s="67">
        <f>F109+G109</f>
        <v>200</v>
      </c>
      <c r="F109" s="67">
        <f>SUMIFS(项目库明细总表!J:J,项目库明细总表!$D:$D,"项目管理费")</f>
        <v>200</v>
      </c>
      <c r="G109" s="67">
        <f>SUMIFS(项目库明细总表!K:K,项目库明细总表!$D:$D,"项目管理费")</f>
        <v>0</v>
      </c>
      <c r="H109" s="68"/>
    </row>
    <row r="110" s="46" customFormat="1" ht="23" customHeight="1" spans="1:8">
      <c r="A110" s="67" t="s">
        <v>41</v>
      </c>
      <c r="B110" s="57" t="s">
        <v>14</v>
      </c>
      <c r="C110" s="57"/>
      <c r="D110" s="67">
        <f>SUM(D111:D114)</f>
        <v>2</v>
      </c>
      <c r="E110" s="67">
        <f>SUM(E111:E114)</f>
        <v>53.96</v>
      </c>
      <c r="F110" s="67">
        <f>SUM(F111:F114)</f>
        <v>50</v>
      </c>
      <c r="G110" s="67">
        <f>SUM(G111:G114)</f>
        <v>3.96</v>
      </c>
      <c r="H110" s="68"/>
    </row>
    <row r="111" s="46" customFormat="1" ht="23" customHeight="1" spans="1:8">
      <c r="A111" s="67"/>
      <c r="B111" s="67" t="s">
        <v>41</v>
      </c>
      <c r="C111" s="74" t="s">
        <v>115</v>
      </c>
      <c r="D111" s="67">
        <f>COUNTIFS(项目库明细总表!D:D,"少数民族特色村寨建设项目")</f>
        <v>0</v>
      </c>
      <c r="E111" s="67">
        <f>F111+G111</f>
        <v>0</v>
      </c>
      <c r="F111" s="67">
        <f>SUMIFS(项目库明细总表!J:J,项目库明细总表!$D:$D,"少数民族特色村寨建设项目")</f>
        <v>0</v>
      </c>
      <c r="G111" s="67">
        <f>SUMIFS(项目库明细总表!K:K,项目库明细总表!$D:$D,"少数民族特色村寨建设项目")</f>
        <v>0</v>
      </c>
      <c r="H111" s="68"/>
    </row>
    <row r="112" s="46" customFormat="1" ht="23" customHeight="1" spans="1:8">
      <c r="A112" s="67"/>
      <c r="B112" s="67"/>
      <c r="C112" s="68" t="s">
        <v>116</v>
      </c>
      <c r="D112" s="67">
        <f>COUNTIFS(项目库明细总表!D:D,"困难群众饮用低氟茶")</f>
        <v>0</v>
      </c>
      <c r="E112" s="67">
        <f>F112+G112</f>
        <v>0</v>
      </c>
      <c r="F112" s="67">
        <f>SUMIFS(项目库明细总表!J:J,项目库明细总表!$D:$D,"困难群众饮用低氟茶")</f>
        <v>0</v>
      </c>
      <c r="G112" s="67">
        <f>SUMIFS(项目库明细总表!K:K,项目库明细总表!$D:$D,"困难群众饮用低氟茶")</f>
        <v>0</v>
      </c>
      <c r="H112" s="68"/>
    </row>
    <row r="113" s="46" customFormat="1" ht="23" customHeight="1" spans="1:8">
      <c r="A113" s="67"/>
      <c r="B113" s="67"/>
      <c r="C113" s="69" t="s">
        <v>41</v>
      </c>
      <c r="D113" s="67">
        <f>COUNTIFS(项目库明细总表!B:B,"其他",项目库明细总表!D:D,"其他")</f>
        <v>2</v>
      </c>
      <c r="E113" s="67">
        <f>F113+G113</f>
        <v>53.96</v>
      </c>
      <c r="F113" s="67">
        <f>SUMIFS(项目库明细总表!J:J,项目库明细总表!$B:$B,"其他",项目库明细总表!$D:$D,"其他")</f>
        <v>50</v>
      </c>
      <c r="G113" s="67">
        <f>SUMIFS(项目库明细总表!K:K,项目库明细总表!$B:$B,"其他",项目库明细总表!$D:$D,"其他")</f>
        <v>3.96</v>
      </c>
      <c r="H113" s="68"/>
    </row>
    <row r="114" s="46" customFormat="1" ht="23" customHeight="1" spans="1:8">
      <c r="A114" s="67"/>
      <c r="B114" s="67"/>
      <c r="C114" s="68" t="s">
        <v>117</v>
      </c>
      <c r="D114" s="67">
        <f>COUNTIFS(项目库明细总表!D:D,"……")</f>
        <v>0</v>
      </c>
      <c r="E114" s="67">
        <f>F114+G114</f>
        <v>0</v>
      </c>
      <c r="F114" s="67">
        <f>SUMIFS(项目库明细总表!J:J,项目库明细总表!$D:$D,"……")</f>
        <v>0</v>
      </c>
      <c r="G114" s="67">
        <f>SUMIFS(项目库明细总表!K:K,项目库明细总表!$D:$D,"……")</f>
        <v>0</v>
      </c>
      <c r="H114" s="68"/>
    </row>
    <row r="115" s="46" customFormat="1" ht="16" customHeight="1" spans="2:6">
      <c r="B115" s="47"/>
      <c r="D115" s="47"/>
      <c r="E115" s="47"/>
      <c r="F115" s="47"/>
    </row>
    <row r="116" s="46" customFormat="1" spans="2:6">
      <c r="B116" s="47"/>
      <c r="D116" s="47"/>
      <c r="E116" s="47"/>
      <c r="F116" s="47"/>
    </row>
    <row r="117" s="46" customFormat="1" spans="2:6">
      <c r="B117" s="47"/>
      <c r="D117" s="47"/>
      <c r="E117" s="47"/>
      <c r="F117" s="47"/>
    </row>
    <row r="118" s="46" customFormat="1" spans="2:6">
      <c r="B118" s="47"/>
      <c r="D118" s="47"/>
      <c r="E118" s="47"/>
      <c r="F118" s="47"/>
    </row>
    <row r="119" s="46" customFormat="1" spans="2:6">
      <c r="B119" s="47"/>
      <c r="D119" s="47"/>
      <c r="E119" s="47"/>
      <c r="F119" s="47"/>
    </row>
    <row r="120" s="46" customFormat="1" spans="2:6">
      <c r="B120" s="47"/>
      <c r="D120" s="47"/>
      <c r="E120" s="47"/>
      <c r="F120" s="47"/>
    </row>
    <row r="121" s="46" customFormat="1" spans="2:6">
      <c r="B121" s="47"/>
      <c r="D121" s="47"/>
      <c r="E121" s="47"/>
      <c r="F121" s="47"/>
    </row>
  </sheetData>
  <sheetProtection formatCells="0" insertHyperlinks="0" autoFilter="0"/>
  <protectedRanges>
    <protectedRange sqref="D$1:G$1048576" name="Range1"/>
  </protectedRanges>
  <mergeCells count="49">
    <mergeCell ref="A2:H2"/>
    <mergeCell ref="A3:D3"/>
    <mergeCell ref="G3:H3"/>
    <mergeCell ref="E4:G4"/>
    <mergeCell ref="A6:C6"/>
    <mergeCell ref="B7:C7"/>
    <mergeCell ref="B34:C34"/>
    <mergeCell ref="B51:C51"/>
    <mergeCell ref="B74:C74"/>
    <mergeCell ref="B78:C78"/>
    <mergeCell ref="B99:C99"/>
    <mergeCell ref="B108:C108"/>
    <mergeCell ref="B110:C110"/>
    <mergeCell ref="A4:A5"/>
    <mergeCell ref="A7:A33"/>
    <mergeCell ref="A34:A50"/>
    <mergeCell ref="A51:A58"/>
    <mergeCell ref="A59:A73"/>
    <mergeCell ref="A74:A77"/>
    <mergeCell ref="A78:A98"/>
    <mergeCell ref="A99:A107"/>
    <mergeCell ref="A108:A109"/>
    <mergeCell ref="A110:A114"/>
    <mergeCell ref="B4:B5"/>
    <mergeCell ref="B8:B14"/>
    <mergeCell ref="B15:B19"/>
    <mergeCell ref="B20:B22"/>
    <mergeCell ref="B23:B27"/>
    <mergeCell ref="B28:B33"/>
    <mergeCell ref="B35:B37"/>
    <mergeCell ref="B38:B41"/>
    <mergeCell ref="B42:B44"/>
    <mergeCell ref="B45:B48"/>
    <mergeCell ref="B49:B50"/>
    <mergeCell ref="B52:B58"/>
    <mergeCell ref="B59:B61"/>
    <mergeCell ref="B62:B66"/>
    <mergeCell ref="B67:B73"/>
    <mergeCell ref="B75:B77"/>
    <mergeCell ref="B79:B80"/>
    <mergeCell ref="B81:B84"/>
    <mergeCell ref="B85:B91"/>
    <mergeCell ref="B92:B98"/>
    <mergeCell ref="B100:B102"/>
    <mergeCell ref="B103:B107"/>
    <mergeCell ref="B111:B114"/>
    <mergeCell ref="C4:C5"/>
    <mergeCell ref="D4:D5"/>
    <mergeCell ref="H4:H5"/>
  </mergeCells>
  <pageMargins left="0.751388888888889" right="0.751388888888889" top="0.66875" bottom="1" header="0.5" footer="0.5"/>
  <pageSetup paperSize="8" firstPageNumber="3" fitToHeight="0" orientation="landscape" useFirstPageNumber="1" horizontalDpi="600"/>
  <headerFooter differentOddEven="1">
    <oddFooter>&amp;R&amp;14— &amp;P —</oddFooter>
    <evenFooter>&amp;L&amp;14— &amp;P —</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450"/>
  <sheetViews>
    <sheetView showZeros="0" view="pageBreakPreview" zoomScale="55" zoomScaleNormal="55" workbookViewId="0">
      <pane ySplit="5" topLeftCell="A6" activePane="bottomLeft" state="frozen"/>
      <selection/>
      <selection pane="bottomLeft" activeCell="Q8" sqref="Q8"/>
    </sheetView>
  </sheetViews>
  <sheetFormatPr defaultColWidth="9" defaultRowHeight="14.4"/>
  <cols>
    <col min="1" max="1" width="5.87037037037037" style="5" customWidth="1"/>
    <col min="2" max="2" width="8.38888888888889" style="5" customWidth="1"/>
    <col min="3" max="3" width="9.17592592592593" style="5" customWidth="1"/>
    <col min="4" max="4" width="10.1018518518519" style="5" customWidth="1"/>
    <col min="5" max="5" width="25.787037037037" style="5" customWidth="1"/>
    <col min="6" max="6" width="53.2962962962963" style="6" customWidth="1"/>
    <col min="7" max="7" width="9.7037037037037" style="5" customWidth="1"/>
    <col min="8" max="8" width="8.88888888888889" style="5" customWidth="1"/>
    <col min="9" max="9" width="14.5" style="7" customWidth="1"/>
    <col min="10" max="10" width="13.3333333333333" style="7" customWidth="1"/>
    <col min="11" max="11" width="12.8888888888889" style="7" customWidth="1"/>
    <col min="12" max="12" width="7.35185185185185" style="5" customWidth="1"/>
    <col min="13" max="13" width="7.41666666666667" style="5" customWidth="1"/>
    <col min="14" max="14" width="9.32407407407407" style="5" customWidth="1"/>
    <col min="15" max="15" width="8.9537037037037" style="5" customWidth="1"/>
    <col min="16" max="16" width="8.12962962962963" style="5" customWidth="1"/>
    <col min="17" max="17" width="65.212962962963" style="6" customWidth="1"/>
    <col min="18" max="18" width="9.68518518518519" style="5" customWidth="1"/>
    <col min="19" max="19" width="9.61111111111111" style="5" customWidth="1"/>
    <col min="20" max="20" width="7.78703703703704" style="5" customWidth="1"/>
    <col min="21" max="16384" width="9" style="4"/>
  </cols>
  <sheetData>
    <row r="1" ht="31.5" customHeight="1" spans="1:20">
      <c r="A1" s="8" t="s">
        <v>118</v>
      </c>
      <c r="B1" s="8"/>
      <c r="C1" s="9"/>
      <c r="D1" s="9"/>
      <c r="E1" s="9"/>
      <c r="F1" s="10"/>
      <c r="G1" s="9"/>
      <c r="H1" s="9"/>
      <c r="I1" s="22"/>
      <c r="J1" s="22"/>
      <c r="K1" s="22"/>
      <c r="L1" s="9"/>
      <c r="M1" s="9"/>
      <c r="N1" s="9"/>
      <c r="O1" s="9"/>
      <c r="P1" s="9"/>
      <c r="Q1" s="10"/>
      <c r="R1" s="9"/>
      <c r="S1" s="9"/>
      <c r="T1" s="9"/>
    </row>
    <row r="2" ht="42.25" customHeight="1" spans="1:20">
      <c r="A2" s="11" t="s">
        <v>119</v>
      </c>
      <c r="B2" s="11"/>
      <c r="C2" s="11"/>
      <c r="D2" s="11"/>
      <c r="E2" s="11"/>
      <c r="F2" s="12"/>
      <c r="G2" s="11"/>
      <c r="H2" s="11"/>
      <c r="I2" s="23"/>
      <c r="J2" s="23"/>
      <c r="K2" s="23"/>
      <c r="L2" s="11"/>
      <c r="M2" s="11"/>
      <c r="N2" s="11"/>
      <c r="O2" s="11"/>
      <c r="P2" s="11"/>
      <c r="Q2" s="12"/>
      <c r="R2" s="11"/>
      <c r="S2" s="11"/>
      <c r="T2" s="11"/>
    </row>
    <row r="3" ht="56" customHeight="1" spans="1:20">
      <c r="A3" s="13" t="s">
        <v>120</v>
      </c>
      <c r="B3" s="13" t="s">
        <v>3</v>
      </c>
      <c r="C3" s="13" t="s">
        <v>4</v>
      </c>
      <c r="D3" s="13" t="s">
        <v>5</v>
      </c>
      <c r="E3" s="14" t="s">
        <v>121</v>
      </c>
      <c r="F3" s="14" t="s">
        <v>122</v>
      </c>
      <c r="G3" s="14" t="s">
        <v>123</v>
      </c>
      <c r="H3" s="14"/>
      <c r="I3" s="24" t="s">
        <v>124</v>
      </c>
      <c r="J3" s="24"/>
      <c r="K3" s="24"/>
      <c r="L3" s="14" t="s">
        <v>125</v>
      </c>
      <c r="M3" s="14" t="s">
        <v>126</v>
      </c>
      <c r="N3" s="14"/>
      <c r="O3" s="14" t="s">
        <v>127</v>
      </c>
      <c r="P3" s="14"/>
      <c r="Q3" s="14" t="s">
        <v>128</v>
      </c>
      <c r="R3" s="14" t="s">
        <v>129</v>
      </c>
      <c r="S3" s="14" t="s">
        <v>130</v>
      </c>
      <c r="T3" s="14" t="s">
        <v>8</v>
      </c>
    </row>
    <row r="4" ht="54.75" customHeight="1" spans="1:20">
      <c r="A4" s="13"/>
      <c r="B4" s="13"/>
      <c r="C4" s="13"/>
      <c r="D4" s="13"/>
      <c r="E4" s="14"/>
      <c r="F4" s="14"/>
      <c r="G4" s="14" t="s">
        <v>131</v>
      </c>
      <c r="H4" s="14" t="s">
        <v>132</v>
      </c>
      <c r="I4" s="24" t="s">
        <v>9</v>
      </c>
      <c r="J4" s="24" t="s">
        <v>10</v>
      </c>
      <c r="K4" s="24" t="s">
        <v>11</v>
      </c>
      <c r="L4" s="14"/>
      <c r="M4" s="24" t="s">
        <v>133</v>
      </c>
      <c r="N4" s="24" t="s">
        <v>134</v>
      </c>
      <c r="O4" s="24" t="s">
        <v>133</v>
      </c>
      <c r="P4" s="24" t="s">
        <v>134</v>
      </c>
      <c r="Q4" s="14"/>
      <c r="R4" s="14"/>
      <c r="S4" s="14"/>
      <c r="T4" s="14"/>
    </row>
    <row r="5" ht="52" customHeight="1" spans="1:20">
      <c r="A5" s="15"/>
      <c r="B5" s="15"/>
      <c r="C5" s="15"/>
      <c r="D5" s="15"/>
      <c r="E5" s="16"/>
      <c r="F5" s="16"/>
      <c r="G5" s="16"/>
      <c r="H5" s="16"/>
      <c r="I5" s="16">
        <f>SUBTOTAL(9,I6:I450)</f>
        <v>45246.4308</v>
      </c>
      <c r="J5" s="16">
        <f>SUBTOTAL(9,J6:J450)</f>
        <v>29217.8058</v>
      </c>
      <c r="K5" s="16">
        <f>SUBTOTAL(9,K6:K450)</f>
        <v>16028.625</v>
      </c>
      <c r="L5" s="17"/>
      <c r="M5" s="16"/>
      <c r="N5" s="16"/>
      <c r="O5" s="16"/>
      <c r="P5" s="16"/>
      <c r="Q5" s="21"/>
      <c r="R5" s="17"/>
      <c r="S5" s="17"/>
      <c r="T5" s="17"/>
    </row>
    <row r="6" s="1" customFormat="1" ht="134" customHeight="1" spans="1:20">
      <c r="A6" s="17">
        <f>ROW()-5</f>
        <v>1</v>
      </c>
      <c r="B6" s="16" t="s">
        <v>13</v>
      </c>
      <c r="C6" s="16" t="s">
        <v>15</v>
      </c>
      <c r="D6" s="16" t="s">
        <v>17</v>
      </c>
      <c r="E6" s="16" t="s">
        <v>135</v>
      </c>
      <c r="F6" s="18" t="s">
        <v>136</v>
      </c>
      <c r="G6" s="16" t="s">
        <v>137</v>
      </c>
      <c r="H6" s="16" t="s">
        <v>138</v>
      </c>
      <c r="I6" s="16">
        <f t="shared" ref="I6:I23" si="0">J6+K6</f>
        <v>16.5</v>
      </c>
      <c r="J6" s="16">
        <v>16.5</v>
      </c>
      <c r="K6" s="16"/>
      <c r="L6" s="16" t="s">
        <v>139</v>
      </c>
      <c r="M6" s="16">
        <v>512</v>
      </c>
      <c r="N6" s="16">
        <v>1270</v>
      </c>
      <c r="O6" s="16">
        <v>35</v>
      </c>
      <c r="P6" s="16">
        <v>71</v>
      </c>
      <c r="Q6" s="18" t="s">
        <v>140</v>
      </c>
      <c r="R6" s="16" t="s">
        <v>141</v>
      </c>
      <c r="S6" s="16" t="s">
        <v>142</v>
      </c>
      <c r="T6" s="17" t="s">
        <v>143</v>
      </c>
    </row>
    <row r="7" s="1" customFormat="1" ht="161" customHeight="1" spans="1:20">
      <c r="A7" s="17">
        <f t="shared" ref="A7:A16" si="1">ROW()-5</f>
        <v>2</v>
      </c>
      <c r="B7" s="17" t="s">
        <v>13</v>
      </c>
      <c r="C7" s="19" t="s">
        <v>15</v>
      </c>
      <c r="D7" s="19" t="s">
        <v>17</v>
      </c>
      <c r="E7" s="16" t="s">
        <v>144</v>
      </c>
      <c r="F7" s="18" t="s">
        <v>145</v>
      </c>
      <c r="G7" s="16" t="s">
        <v>137</v>
      </c>
      <c r="H7" s="20" t="s">
        <v>146</v>
      </c>
      <c r="I7" s="16">
        <f t="shared" si="0"/>
        <v>8</v>
      </c>
      <c r="J7" s="16">
        <v>8</v>
      </c>
      <c r="K7" s="16"/>
      <c r="L7" s="16" t="s">
        <v>139</v>
      </c>
      <c r="M7" s="16">
        <v>355</v>
      </c>
      <c r="N7" s="16">
        <v>879</v>
      </c>
      <c r="O7" s="16">
        <v>13</v>
      </c>
      <c r="P7" s="20">
        <v>25</v>
      </c>
      <c r="Q7" s="18" t="s">
        <v>147</v>
      </c>
      <c r="R7" s="17" t="s">
        <v>141</v>
      </c>
      <c r="S7" s="17" t="s">
        <v>142</v>
      </c>
      <c r="T7" s="17" t="s">
        <v>143</v>
      </c>
    </row>
    <row r="8" s="1" customFormat="1" ht="160" customHeight="1" spans="1:20">
      <c r="A8" s="17">
        <f t="shared" si="1"/>
        <v>3</v>
      </c>
      <c r="B8" s="17" t="s">
        <v>13</v>
      </c>
      <c r="C8" s="19" t="s">
        <v>15</v>
      </c>
      <c r="D8" s="19" t="s">
        <v>17</v>
      </c>
      <c r="E8" s="16" t="s">
        <v>148</v>
      </c>
      <c r="F8" s="18" t="s">
        <v>149</v>
      </c>
      <c r="G8" s="16" t="s">
        <v>137</v>
      </c>
      <c r="H8" s="20" t="s">
        <v>150</v>
      </c>
      <c r="I8" s="16">
        <f t="shared" si="0"/>
        <v>15</v>
      </c>
      <c r="J8" s="16">
        <v>15</v>
      </c>
      <c r="K8" s="16"/>
      <c r="L8" s="16" t="s">
        <v>139</v>
      </c>
      <c r="M8" s="16">
        <v>577</v>
      </c>
      <c r="N8" s="16">
        <v>1532</v>
      </c>
      <c r="O8" s="16">
        <v>51</v>
      </c>
      <c r="P8" s="20">
        <v>109</v>
      </c>
      <c r="Q8" s="18" t="s">
        <v>151</v>
      </c>
      <c r="R8" s="17" t="s">
        <v>141</v>
      </c>
      <c r="S8" s="17" t="s">
        <v>142</v>
      </c>
      <c r="T8" s="17" t="s">
        <v>143</v>
      </c>
    </row>
    <row r="9" s="1" customFormat="1" ht="148" customHeight="1" spans="1:20">
      <c r="A9" s="17">
        <f t="shared" si="1"/>
        <v>4</v>
      </c>
      <c r="B9" s="17" t="s">
        <v>13</v>
      </c>
      <c r="C9" s="19" t="s">
        <v>15</v>
      </c>
      <c r="D9" s="19" t="s">
        <v>17</v>
      </c>
      <c r="E9" s="16" t="s">
        <v>152</v>
      </c>
      <c r="F9" s="18" t="s">
        <v>153</v>
      </c>
      <c r="G9" s="16" t="s">
        <v>137</v>
      </c>
      <c r="H9" s="20" t="s">
        <v>154</v>
      </c>
      <c r="I9" s="16">
        <f t="shared" si="0"/>
        <v>17</v>
      </c>
      <c r="J9" s="16">
        <v>17</v>
      </c>
      <c r="K9" s="16"/>
      <c r="L9" s="16" t="s">
        <v>139</v>
      </c>
      <c r="M9" s="16">
        <v>366</v>
      </c>
      <c r="N9" s="16">
        <v>923</v>
      </c>
      <c r="O9" s="16">
        <v>16</v>
      </c>
      <c r="P9" s="20">
        <v>41</v>
      </c>
      <c r="Q9" s="18" t="s">
        <v>155</v>
      </c>
      <c r="R9" s="17" t="s">
        <v>141</v>
      </c>
      <c r="S9" s="17" t="s">
        <v>142</v>
      </c>
      <c r="T9" s="17"/>
    </row>
    <row r="10" s="1" customFormat="1" ht="139.2" spans="1:20">
      <c r="A10" s="17">
        <f t="shared" si="1"/>
        <v>5</v>
      </c>
      <c r="B10" s="17" t="s">
        <v>13</v>
      </c>
      <c r="C10" s="19" t="s">
        <v>15</v>
      </c>
      <c r="D10" s="19" t="s">
        <v>17</v>
      </c>
      <c r="E10" s="16" t="s">
        <v>156</v>
      </c>
      <c r="F10" s="18" t="s">
        <v>157</v>
      </c>
      <c r="G10" s="16" t="s">
        <v>137</v>
      </c>
      <c r="H10" s="20" t="s">
        <v>154</v>
      </c>
      <c r="I10" s="16">
        <f t="shared" si="0"/>
        <v>56</v>
      </c>
      <c r="J10" s="16">
        <v>56</v>
      </c>
      <c r="K10" s="16"/>
      <c r="L10" s="16" t="s">
        <v>139</v>
      </c>
      <c r="M10" s="16">
        <v>366</v>
      </c>
      <c r="N10" s="16">
        <v>923</v>
      </c>
      <c r="O10" s="16">
        <v>16</v>
      </c>
      <c r="P10" s="20">
        <v>41</v>
      </c>
      <c r="Q10" s="18" t="s">
        <v>158</v>
      </c>
      <c r="R10" s="17" t="s">
        <v>141</v>
      </c>
      <c r="S10" s="17" t="s">
        <v>142</v>
      </c>
      <c r="T10" s="17" t="s">
        <v>143</v>
      </c>
    </row>
    <row r="11" s="1" customFormat="1" ht="143" customHeight="1" spans="1:20">
      <c r="A11" s="17">
        <f t="shared" si="1"/>
        <v>6</v>
      </c>
      <c r="B11" s="17" t="s">
        <v>13</v>
      </c>
      <c r="C11" s="19" t="s">
        <v>15</v>
      </c>
      <c r="D11" s="19" t="s">
        <v>17</v>
      </c>
      <c r="E11" s="16" t="s">
        <v>159</v>
      </c>
      <c r="F11" s="18" t="s">
        <v>160</v>
      </c>
      <c r="G11" s="16" t="s">
        <v>137</v>
      </c>
      <c r="H11" s="20" t="s">
        <v>154</v>
      </c>
      <c r="I11" s="16">
        <f t="shared" si="0"/>
        <v>9</v>
      </c>
      <c r="J11" s="16">
        <v>9</v>
      </c>
      <c r="K11" s="16"/>
      <c r="L11" s="16" t="s">
        <v>139</v>
      </c>
      <c r="M11" s="16">
        <v>366</v>
      </c>
      <c r="N11" s="16">
        <v>923</v>
      </c>
      <c r="O11" s="16">
        <v>16</v>
      </c>
      <c r="P11" s="20">
        <v>41</v>
      </c>
      <c r="Q11" s="18" t="s">
        <v>161</v>
      </c>
      <c r="R11" s="17" t="s">
        <v>141</v>
      </c>
      <c r="S11" s="17" t="s">
        <v>142</v>
      </c>
      <c r="T11" s="17" t="s">
        <v>143</v>
      </c>
    </row>
    <row r="12" s="1" customFormat="1" ht="168" customHeight="1" spans="1:20">
      <c r="A12" s="17">
        <f t="shared" si="1"/>
        <v>7</v>
      </c>
      <c r="B12" s="17" t="s">
        <v>13</v>
      </c>
      <c r="C12" s="19" t="s">
        <v>15</v>
      </c>
      <c r="D12" s="19" t="s">
        <v>17</v>
      </c>
      <c r="E12" s="16" t="s">
        <v>162</v>
      </c>
      <c r="F12" s="18" t="s">
        <v>163</v>
      </c>
      <c r="G12" s="16" t="s">
        <v>137</v>
      </c>
      <c r="H12" s="20" t="s">
        <v>164</v>
      </c>
      <c r="I12" s="16">
        <f t="shared" si="0"/>
        <v>6</v>
      </c>
      <c r="J12" s="16">
        <v>6</v>
      </c>
      <c r="K12" s="16"/>
      <c r="L12" s="16" t="s">
        <v>139</v>
      </c>
      <c r="M12" s="16">
        <v>275</v>
      </c>
      <c r="N12" s="16">
        <v>625</v>
      </c>
      <c r="O12" s="16">
        <v>27</v>
      </c>
      <c r="P12" s="20">
        <v>43</v>
      </c>
      <c r="Q12" s="18" t="s">
        <v>165</v>
      </c>
      <c r="R12" s="17" t="s">
        <v>141</v>
      </c>
      <c r="S12" s="17" t="s">
        <v>142</v>
      </c>
      <c r="T12" s="17" t="s">
        <v>143</v>
      </c>
    </row>
    <row r="13" s="1" customFormat="1" ht="52.2" spans="1:20">
      <c r="A13" s="17">
        <f t="shared" si="1"/>
        <v>8</v>
      </c>
      <c r="B13" s="17" t="s">
        <v>13</v>
      </c>
      <c r="C13" s="19" t="s">
        <v>15</v>
      </c>
      <c r="D13" s="19" t="s">
        <v>17</v>
      </c>
      <c r="E13" s="16" t="s">
        <v>166</v>
      </c>
      <c r="F13" s="18" t="s">
        <v>167</v>
      </c>
      <c r="G13" s="16" t="s">
        <v>168</v>
      </c>
      <c r="H13" s="20" t="s">
        <v>169</v>
      </c>
      <c r="I13" s="16">
        <f t="shared" si="0"/>
        <v>140</v>
      </c>
      <c r="J13" s="16">
        <v>140</v>
      </c>
      <c r="K13" s="16"/>
      <c r="L13" s="16" t="s">
        <v>139</v>
      </c>
      <c r="M13" s="16">
        <v>575</v>
      </c>
      <c r="N13" s="16">
        <v>1314</v>
      </c>
      <c r="O13" s="16">
        <v>7</v>
      </c>
      <c r="P13" s="20">
        <v>10</v>
      </c>
      <c r="Q13" s="18" t="s">
        <v>170</v>
      </c>
      <c r="R13" s="17" t="s">
        <v>142</v>
      </c>
      <c r="S13" s="17" t="s">
        <v>142</v>
      </c>
      <c r="T13" s="17"/>
    </row>
    <row r="14" s="1" customFormat="1" ht="87" spans="1:20">
      <c r="A14" s="17">
        <f t="shared" si="1"/>
        <v>9</v>
      </c>
      <c r="B14" s="17" t="s">
        <v>13</v>
      </c>
      <c r="C14" s="19" t="s">
        <v>15</v>
      </c>
      <c r="D14" s="19" t="s">
        <v>17</v>
      </c>
      <c r="E14" s="16" t="s">
        <v>171</v>
      </c>
      <c r="F14" s="18" t="s">
        <v>172</v>
      </c>
      <c r="G14" s="16" t="s">
        <v>173</v>
      </c>
      <c r="H14" s="20" t="s">
        <v>174</v>
      </c>
      <c r="I14" s="16">
        <f t="shared" si="0"/>
        <v>160</v>
      </c>
      <c r="J14" s="16">
        <v>160</v>
      </c>
      <c r="K14" s="16"/>
      <c r="L14" s="16" t="s">
        <v>139</v>
      </c>
      <c r="M14" s="16">
        <v>443</v>
      </c>
      <c r="N14" s="16">
        <v>1123</v>
      </c>
      <c r="O14" s="16">
        <v>10</v>
      </c>
      <c r="P14" s="20">
        <v>19</v>
      </c>
      <c r="Q14" s="18" t="s">
        <v>175</v>
      </c>
      <c r="R14" s="17" t="s">
        <v>173</v>
      </c>
      <c r="S14" s="17" t="s">
        <v>142</v>
      </c>
      <c r="T14" s="17" t="s">
        <v>176</v>
      </c>
    </row>
    <row r="15" s="1" customFormat="1" ht="87" spans="1:20">
      <c r="A15" s="17">
        <f t="shared" si="1"/>
        <v>10</v>
      </c>
      <c r="B15" s="17" t="s">
        <v>13</v>
      </c>
      <c r="C15" s="17" t="s">
        <v>15</v>
      </c>
      <c r="D15" s="19" t="s">
        <v>17</v>
      </c>
      <c r="E15" s="16" t="s">
        <v>177</v>
      </c>
      <c r="F15" s="21" t="s">
        <v>178</v>
      </c>
      <c r="G15" s="16" t="s">
        <v>173</v>
      </c>
      <c r="H15" s="16" t="s">
        <v>179</v>
      </c>
      <c r="I15" s="16">
        <v>205</v>
      </c>
      <c r="J15" s="16">
        <v>205</v>
      </c>
      <c r="K15" s="16"/>
      <c r="L15" s="16" t="s">
        <v>139</v>
      </c>
      <c r="M15" s="16">
        <v>403</v>
      </c>
      <c r="N15" s="16">
        <v>1039</v>
      </c>
      <c r="O15" s="16">
        <v>13</v>
      </c>
      <c r="P15" s="16">
        <v>23</v>
      </c>
      <c r="Q15" s="18" t="s">
        <v>180</v>
      </c>
      <c r="R15" s="17" t="s">
        <v>173</v>
      </c>
      <c r="S15" s="17" t="s">
        <v>142</v>
      </c>
      <c r="T15" s="17"/>
    </row>
    <row r="16" s="1" customFormat="1" ht="87" spans="1:20">
      <c r="A16" s="17">
        <f t="shared" si="1"/>
        <v>11</v>
      </c>
      <c r="B16" s="17" t="s">
        <v>13</v>
      </c>
      <c r="C16" s="19" t="s">
        <v>15</v>
      </c>
      <c r="D16" s="19" t="s">
        <v>17</v>
      </c>
      <c r="E16" s="16" t="s">
        <v>181</v>
      </c>
      <c r="F16" s="18" t="s">
        <v>182</v>
      </c>
      <c r="G16" s="16" t="s">
        <v>183</v>
      </c>
      <c r="H16" s="20" t="s">
        <v>184</v>
      </c>
      <c r="I16" s="16">
        <f t="shared" si="0"/>
        <v>20</v>
      </c>
      <c r="J16" s="16">
        <v>20</v>
      </c>
      <c r="K16" s="16"/>
      <c r="L16" s="16" t="s">
        <v>139</v>
      </c>
      <c r="M16" s="16">
        <v>62</v>
      </c>
      <c r="N16" s="16">
        <v>185</v>
      </c>
      <c r="O16" s="16">
        <v>8</v>
      </c>
      <c r="P16" s="20">
        <v>15</v>
      </c>
      <c r="Q16" s="18" t="s">
        <v>185</v>
      </c>
      <c r="R16" s="17" t="s">
        <v>183</v>
      </c>
      <c r="S16" s="17" t="s">
        <v>142</v>
      </c>
      <c r="T16" s="17" t="s">
        <v>186</v>
      </c>
    </row>
    <row r="17" s="1" customFormat="1" ht="174" spans="1:20">
      <c r="A17" s="17">
        <f t="shared" ref="A17:A26" si="2">ROW()-5</f>
        <v>12</v>
      </c>
      <c r="B17" s="17" t="s">
        <v>13</v>
      </c>
      <c r="C17" s="19" t="s">
        <v>15</v>
      </c>
      <c r="D17" s="19" t="s">
        <v>17</v>
      </c>
      <c r="E17" s="16" t="s">
        <v>187</v>
      </c>
      <c r="F17" s="18" t="s">
        <v>188</v>
      </c>
      <c r="G17" s="16" t="s">
        <v>183</v>
      </c>
      <c r="H17" s="20" t="s">
        <v>189</v>
      </c>
      <c r="I17" s="16">
        <f t="shared" si="0"/>
        <v>9</v>
      </c>
      <c r="J17" s="16">
        <v>9</v>
      </c>
      <c r="K17" s="16"/>
      <c r="L17" s="16" t="s">
        <v>139</v>
      </c>
      <c r="M17" s="16">
        <v>287</v>
      </c>
      <c r="N17" s="16">
        <v>936</v>
      </c>
      <c r="O17" s="16">
        <v>16</v>
      </c>
      <c r="P17" s="20">
        <v>46</v>
      </c>
      <c r="Q17" s="18" t="s">
        <v>190</v>
      </c>
      <c r="R17" s="17" t="s">
        <v>183</v>
      </c>
      <c r="S17" s="17" t="s">
        <v>142</v>
      </c>
      <c r="T17" s="17" t="s">
        <v>191</v>
      </c>
    </row>
    <row r="18" s="1" customFormat="1" ht="86" customHeight="1" spans="1:20">
      <c r="A18" s="17">
        <f t="shared" si="2"/>
        <v>13</v>
      </c>
      <c r="B18" s="17" t="s">
        <v>13</v>
      </c>
      <c r="C18" s="19" t="s">
        <v>15</v>
      </c>
      <c r="D18" s="19" t="s">
        <v>17</v>
      </c>
      <c r="E18" s="16" t="s">
        <v>192</v>
      </c>
      <c r="F18" s="18" t="s">
        <v>193</v>
      </c>
      <c r="G18" s="16" t="s">
        <v>194</v>
      </c>
      <c r="H18" s="20" t="s">
        <v>195</v>
      </c>
      <c r="I18" s="16">
        <f t="shared" si="0"/>
        <v>12</v>
      </c>
      <c r="J18" s="16">
        <v>12</v>
      </c>
      <c r="K18" s="16"/>
      <c r="L18" s="16" t="s">
        <v>139</v>
      </c>
      <c r="M18" s="16">
        <v>453</v>
      </c>
      <c r="N18" s="16">
        <v>1121</v>
      </c>
      <c r="O18" s="16">
        <v>14</v>
      </c>
      <c r="P18" s="20">
        <v>31</v>
      </c>
      <c r="Q18" s="18" t="s">
        <v>196</v>
      </c>
      <c r="R18" s="17" t="s">
        <v>194</v>
      </c>
      <c r="S18" s="17" t="s">
        <v>142</v>
      </c>
      <c r="T18" s="17" t="s">
        <v>143</v>
      </c>
    </row>
    <row r="19" s="1" customFormat="1" ht="88" customHeight="1" spans="1:20">
      <c r="A19" s="17">
        <f t="shared" si="2"/>
        <v>14</v>
      </c>
      <c r="B19" s="17" t="s">
        <v>13</v>
      </c>
      <c r="C19" s="19" t="s">
        <v>15</v>
      </c>
      <c r="D19" s="19" t="s">
        <v>17</v>
      </c>
      <c r="E19" s="16" t="s">
        <v>197</v>
      </c>
      <c r="F19" s="18" t="s">
        <v>198</v>
      </c>
      <c r="G19" s="16" t="s">
        <v>194</v>
      </c>
      <c r="H19" s="20" t="s">
        <v>199</v>
      </c>
      <c r="I19" s="16">
        <f t="shared" si="0"/>
        <v>4.2</v>
      </c>
      <c r="J19" s="16">
        <v>4.2</v>
      </c>
      <c r="K19" s="16"/>
      <c r="L19" s="16" t="s">
        <v>139</v>
      </c>
      <c r="M19" s="16">
        <v>380</v>
      </c>
      <c r="N19" s="16">
        <v>1020</v>
      </c>
      <c r="O19" s="16">
        <v>17</v>
      </c>
      <c r="P19" s="20">
        <v>30</v>
      </c>
      <c r="Q19" s="18" t="s">
        <v>200</v>
      </c>
      <c r="R19" s="17" t="s">
        <v>194</v>
      </c>
      <c r="S19" s="17" t="s">
        <v>142</v>
      </c>
      <c r="T19" s="17" t="s">
        <v>143</v>
      </c>
    </row>
    <row r="20" s="1" customFormat="1" ht="103" customHeight="1" spans="1:20">
      <c r="A20" s="17">
        <f t="shared" si="2"/>
        <v>15</v>
      </c>
      <c r="B20" s="17" t="s">
        <v>13</v>
      </c>
      <c r="C20" s="19" t="s">
        <v>15</v>
      </c>
      <c r="D20" s="19" t="s">
        <v>17</v>
      </c>
      <c r="E20" s="16" t="s">
        <v>201</v>
      </c>
      <c r="F20" s="18" t="s">
        <v>202</v>
      </c>
      <c r="G20" s="16" t="s">
        <v>173</v>
      </c>
      <c r="H20" s="20" t="s">
        <v>203</v>
      </c>
      <c r="I20" s="16">
        <f t="shared" si="0"/>
        <v>65</v>
      </c>
      <c r="J20" s="16">
        <v>65</v>
      </c>
      <c r="K20" s="16"/>
      <c r="L20" s="16" t="s">
        <v>139</v>
      </c>
      <c r="M20" s="16">
        <v>200</v>
      </c>
      <c r="N20" s="16">
        <v>556</v>
      </c>
      <c r="O20" s="16">
        <v>10</v>
      </c>
      <c r="P20" s="20">
        <v>21</v>
      </c>
      <c r="Q20" s="18" t="s">
        <v>204</v>
      </c>
      <c r="R20" s="17" t="s">
        <v>173</v>
      </c>
      <c r="S20" s="17" t="s">
        <v>142</v>
      </c>
      <c r="T20" s="17"/>
    </row>
    <row r="21" s="1" customFormat="1" ht="121.8" spans="1:20">
      <c r="A21" s="17">
        <f t="shared" si="2"/>
        <v>16</v>
      </c>
      <c r="B21" s="17" t="s">
        <v>13</v>
      </c>
      <c r="C21" s="19" t="s">
        <v>15</v>
      </c>
      <c r="D21" s="19" t="s">
        <v>17</v>
      </c>
      <c r="E21" s="16" t="s">
        <v>205</v>
      </c>
      <c r="F21" s="18" t="s">
        <v>206</v>
      </c>
      <c r="G21" s="16" t="s">
        <v>207</v>
      </c>
      <c r="H21" s="20" t="s">
        <v>208</v>
      </c>
      <c r="I21" s="16">
        <f t="shared" si="0"/>
        <v>80</v>
      </c>
      <c r="J21" s="16">
        <v>80</v>
      </c>
      <c r="K21" s="16"/>
      <c r="L21" s="16" t="s">
        <v>139</v>
      </c>
      <c r="M21" s="16">
        <v>147</v>
      </c>
      <c r="N21" s="16">
        <v>385</v>
      </c>
      <c r="O21" s="16">
        <v>7</v>
      </c>
      <c r="P21" s="20">
        <v>9</v>
      </c>
      <c r="Q21" s="18" t="s">
        <v>209</v>
      </c>
      <c r="R21" s="17" t="s">
        <v>210</v>
      </c>
      <c r="S21" s="17" t="s">
        <v>142</v>
      </c>
      <c r="T21" s="17"/>
    </row>
    <row r="22" s="1" customFormat="1" ht="158" customHeight="1" spans="1:20">
      <c r="A22" s="17">
        <f t="shared" si="2"/>
        <v>17</v>
      </c>
      <c r="B22" s="17" t="s">
        <v>13</v>
      </c>
      <c r="C22" s="19" t="s">
        <v>15</v>
      </c>
      <c r="D22" s="19" t="s">
        <v>17</v>
      </c>
      <c r="E22" s="16" t="s">
        <v>211</v>
      </c>
      <c r="F22" s="18" t="s">
        <v>212</v>
      </c>
      <c r="G22" s="16" t="s">
        <v>213</v>
      </c>
      <c r="H22" s="20" t="s">
        <v>214</v>
      </c>
      <c r="I22" s="16">
        <f t="shared" si="0"/>
        <v>58</v>
      </c>
      <c r="J22" s="16">
        <v>58</v>
      </c>
      <c r="K22" s="16"/>
      <c r="L22" s="16" t="s">
        <v>139</v>
      </c>
      <c r="M22" s="16">
        <v>3842</v>
      </c>
      <c r="N22" s="16">
        <v>10430</v>
      </c>
      <c r="O22" s="16">
        <v>294</v>
      </c>
      <c r="P22" s="20">
        <v>640</v>
      </c>
      <c r="Q22" s="18" t="s">
        <v>215</v>
      </c>
      <c r="R22" s="17" t="s">
        <v>216</v>
      </c>
      <c r="S22" s="17" t="s">
        <v>142</v>
      </c>
      <c r="T22" s="17"/>
    </row>
    <row r="23" s="1" customFormat="1" ht="140" customHeight="1" spans="1:20">
      <c r="A23" s="17">
        <f t="shared" si="2"/>
        <v>18</v>
      </c>
      <c r="B23" s="17" t="s">
        <v>13</v>
      </c>
      <c r="C23" s="19" t="s">
        <v>15</v>
      </c>
      <c r="D23" s="19" t="s">
        <v>17</v>
      </c>
      <c r="E23" s="16" t="s">
        <v>217</v>
      </c>
      <c r="F23" s="18" t="s">
        <v>218</v>
      </c>
      <c r="G23" s="16" t="s">
        <v>137</v>
      </c>
      <c r="H23" s="20" t="s">
        <v>219</v>
      </c>
      <c r="I23" s="16">
        <f t="shared" si="0"/>
        <v>30</v>
      </c>
      <c r="J23" s="16">
        <v>30</v>
      </c>
      <c r="K23" s="16"/>
      <c r="L23" s="16" t="s">
        <v>139</v>
      </c>
      <c r="M23" s="16">
        <v>622</v>
      </c>
      <c r="N23" s="16">
        <v>1510</v>
      </c>
      <c r="O23" s="16">
        <v>52</v>
      </c>
      <c r="P23" s="20">
        <v>86</v>
      </c>
      <c r="Q23" s="18" t="s">
        <v>220</v>
      </c>
      <c r="R23" s="17" t="s">
        <v>141</v>
      </c>
      <c r="S23" s="17" t="s">
        <v>142</v>
      </c>
      <c r="T23" s="17"/>
    </row>
    <row r="24" s="1" customFormat="1" ht="115" customHeight="1" spans="1:20">
      <c r="A24" s="17">
        <f t="shared" si="2"/>
        <v>19</v>
      </c>
      <c r="B24" s="17" t="s">
        <v>13</v>
      </c>
      <c r="C24" s="19" t="s">
        <v>15</v>
      </c>
      <c r="D24" s="19" t="s">
        <v>17</v>
      </c>
      <c r="E24" s="16" t="s">
        <v>221</v>
      </c>
      <c r="F24" s="18" t="s">
        <v>222</v>
      </c>
      <c r="G24" s="16" t="s">
        <v>213</v>
      </c>
      <c r="H24" s="20" t="s">
        <v>223</v>
      </c>
      <c r="I24" s="16">
        <f t="shared" ref="I24:I87" si="3">J24+K24</f>
        <v>30</v>
      </c>
      <c r="J24" s="16">
        <v>30</v>
      </c>
      <c r="K24" s="16"/>
      <c r="L24" s="16" t="s">
        <v>139</v>
      </c>
      <c r="M24" s="16">
        <v>3842</v>
      </c>
      <c r="N24" s="16">
        <v>10430</v>
      </c>
      <c r="O24" s="16">
        <v>294</v>
      </c>
      <c r="P24" s="20">
        <v>640</v>
      </c>
      <c r="Q24" s="18" t="s">
        <v>224</v>
      </c>
      <c r="R24" s="17" t="s">
        <v>216</v>
      </c>
      <c r="S24" s="17" t="s">
        <v>142</v>
      </c>
      <c r="T24" s="17"/>
    </row>
    <row r="25" s="1" customFormat="1" ht="96" customHeight="1" spans="1:20">
      <c r="A25" s="17">
        <f t="shared" si="2"/>
        <v>20</v>
      </c>
      <c r="B25" s="17" t="s">
        <v>13</v>
      </c>
      <c r="C25" s="19" t="s">
        <v>15</v>
      </c>
      <c r="D25" s="19" t="s">
        <v>17</v>
      </c>
      <c r="E25" s="16" t="s">
        <v>225</v>
      </c>
      <c r="F25" s="18" t="s">
        <v>226</v>
      </c>
      <c r="G25" s="16" t="s">
        <v>213</v>
      </c>
      <c r="H25" s="20" t="s">
        <v>227</v>
      </c>
      <c r="I25" s="16">
        <f t="shared" si="3"/>
        <v>120</v>
      </c>
      <c r="J25" s="16"/>
      <c r="K25" s="16">
        <v>120</v>
      </c>
      <c r="L25" s="16" t="s">
        <v>139</v>
      </c>
      <c r="M25" s="16">
        <v>517</v>
      </c>
      <c r="N25" s="16">
        <v>1353</v>
      </c>
      <c r="O25" s="16">
        <v>46</v>
      </c>
      <c r="P25" s="20">
        <v>116</v>
      </c>
      <c r="Q25" s="18" t="s">
        <v>228</v>
      </c>
      <c r="R25" s="17" t="s">
        <v>216</v>
      </c>
      <c r="S25" s="17" t="s">
        <v>142</v>
      </c>
      <c r="T25" s="17" t="s">
        <v>229</v>
      </c>
    </row>
    <row r="26" s="1" customFormat="1" ht="162" customHeight="1" spans="1:20">
      <c r="A26" s="17">
        <f t="shared" si="2"/>
        <v>21</v>
      </c>
      <c r="B26" s="17" t="s">
        <v>13</v>
      </c>
      <c r="C26" s="19" t="s">
        <v>15</v>
      </c>
      <c r="D26" s="19" t="s">
        <v>17</v>
      </c>
      <c r="E26" s="16" t="s">
        <v>230</v>
      </c>
      <c r="F26" s="18" t="s">
        <v>231</v>
      </c>
      <c r="G26" s="16" t="s">
        <v>232</v>
      </c>
      <c r="H26" s="20" t="s">
        <v>233</v>
      </c>
      <c r="I26" s="16">
        <f t="shared" si="3"/>
        <v>270</v>
      </c>
      <c r="J26" s="16">
        <v>108</v>
      </c>
      <c r="K26" s="16">
        <v>162</v>
      </c>
      <c r="L26" s="16" t="s">
        <v>139</v>
      </c>
      <c r="M26" s="16">
        <v>486</v>
      </c>
      <c r="N26" s="16">
        <v>1436</v>
      </c>
      <c r="O26" s="16">
        <v>16</v>
      </c>
      <c r="P26" s="20">
        <v>30</v>
      </c>
      <c r="Q26" s="18" t="s">
        <v>234</v>
      </c>
      <c r="R26" s="17" t="s">
        <v>142</v>
      </c>
      <c r="S26" s="17" t="s">
        <v>142</v>
      </c>
      <c r="T26" s="17" t="s">
        <v>235</v>
      </c>
    </row>
    <row r="27" s="1" customFormat="1" ht="86" customHeight="1" spans="1:20">
      <c r="A27" s="17">
        <f t="shared" ref="A27:A36" si="4">ROW()-5</f>
        <v>22</v>
      </c>
      <c r="B27" s="17" t="s">
        <v>13</v>
      </c>
      <c r="C27" s="19" t="s">
        <v>15</v>
      </c>
      <c r="D27" s="19" t="s">
        <v>17</v>
      </c>
      <c r="E27" s="16" t="s">
        <v>236</v>
      </c>
      <c r="F27" s="18" t="s">
        <v>237</v>
      </c>
      <c r="G27" s="16" t="s">
        <v>232</v>
      </c>
      <c r="H27" s="20" t="s">
        <v>238</v>
      </c>
      <c r="I27" s="16">
        <f t="shared" si="3"/>
        <v>30</v>
      </c>
      <c r="J27" s="16">
        <v>30</v>
      </c>
      <c r="K27" s="16"/>
      <c r="L27" s="16" t="s">
        <v>139</v>
      </c>
      <c r="M27" s="16">
        <v>302</v>
      </c>
      <c r="N27" s="16">
        <v>776</v>
      </c>
      <c r="O27" s="16">
        <v>16</v>
      </c>
      <c r="P27" s="20">
        <v>26</v>
      </c>
      <c r="Q27" s="18" t="s">
        <v>239</v>
      </c>
      <c r="R27" s="17" t="s">
        <v>240</v>
      </c>
      <c r="S27" s="17" t="s">
        <v>142</v>
      </c>
      <c r="T27" s="17" t="s">
        <v>143</v>
      </c>
    </row>
    <row r="28" s="1" customFormat="1" ht="99" customHeight="1" spans="1:20">
      <c r="A28" s="17">
        <f t="shared" si="4"/>
        <v>23</v>
      </c>
      <c r="B28" s="17" t="s">
        <v>13</v>
      </c>
      <c r="C28" s="19" t="s">
        <v>15</v>
      </c>
      <c r="D28" s="19" t="s">
        <v>17</v>
      </c>
      <c r="E28" s="16" t="s">
        <v>241</v>
      </c>
      <c r="F28" s="18" t="s">
        <v>242</v>
      </c>
      <c r="G28" s="16" t="s">
        <v>232</v>
      </c>
      <c r="H28" s="20" t="s">
        <v>243</v>
      </c>
      <c r="I28" s="16">
        <f t="shared" si="3"/>
        <v>40</v>
      </c>
      <c r="J28" s="16">
        <v>40</v>
      </c>
      <c r="K28" s="16"/>
      <c r="L28" s="16" t="s">
        <v>139</v>
      </c>
      <c r="M28" s="16">
        <v>425</v>
      </c>
      <c r="N28" s="16">
        <v>1085</v>
      </c>
      <c r="O28" s="16">
        <v>13</v>
      </c>
      <c r="P28" s="20">
        <v>30</v>
      </c>
      <c r="Q28" s="18" t="s">
        <v>244</v>
      </c>
      <c r="R28" s="17" t="s">
        <v>240</v>
      </c>
      <c r="S28" s="17" t="s">
        <v>142</v>
      </c>
      <c r="T28" s="17" t="s">
        <v>143</v>
      </c>
    </row>
    <row r="29" s="1" customFormat="1" ht="69.6" spans="1:20">
      <c r="A29" s="17">
        <f t="shared" si="4"/>
        <v>24</v>
      </c>
      <c r="B29" s="17" t="s">
        <v>13</v>
      </c>
      <c r="C29" s="19" t="s">
        <v>15</v>
      </c>
      <c r="D29" s="19" t="s">
        <v>17</v>
      </c>
      <c r="E29" s="16" t="s">
        <v>245</v>
      </c>
      <c r="F29" s="18" t="s">
        <v>246</v>
      </c>
      <c r="G29" s="16" t="s">
        <v>247</v>
      </c>
      <c r="H29" s="20" t="s">
        <v>248</v>
      </c>
      <c r="I29" s="16">
        <f t="shared" si="3"/>
        <v>75</v>
      </c>
      <c r="J29" s="16">
        <v>75</v>
      </c>
      <c r="K29" s="16"/>
      <c r="L29" s="16" t="s">
        <v>139</v>
      </c>
      <c r="M29" s="16">
        <v>378</v>
      </c>
      <c r="N29" s="16">
        <v>1232</v>
      </c>
      <c r="O29" s="16">
        <v>8</v>
      </c>
      <c r="P29" s="20">
        <v>8</v>
      </c>
      <c r="Q29" s="18" t="s">
        <v>249</v>
      </c>
      <c r="R29" s="17" t="s">
        <v>250</v>
      </c>
      <c r="S29" s="17" t="s">
        <v>142</v>
      </c>
      <c r="T29" s="17"/>
    </row>
    <row r="30" s="1" customFormat="1" ht="91" customHeight="1" spans="1:20">
      <c r="A30" s="17">
        <f t="shared" si="4"/>
        <v>25</v>
      </c>
      <c r="B30" s="17" t="s">
        <v>13</v>
      </c>
      <c r="C30" s="19" t="s">
        <v>15</v>
      </c>
      <c r="D30" s="19" t="s">
        <v>17</v>
      </c>
      <c r="E30" s="16" t="s">
        <v>251</v>
      </c>
      <c r="F30" s="18" t="s">
        <v>252</v>
      </c>
      <c r="G30" s="16" t="s">
        <v>247</v>
      </c>
      <c r="H30" s="20" t="s">
        <v>253</v>
      </c>
      <c r="I30" s="16">
        <f t="shared" si="3"/>
        <v>9.6</v>
      </c>
      <c r="J30" s="16">
        <v>9.6</v>
      </c>
      <c r="K30" s="16"/>
      <c r="L30" s="16" t="s">
        <v>139</v>
      </c>
      <c r="M30" s="16">
        <v>552</v>
      </c>
      <c r="N30" s="16">
        <v>1636</v>
      </c>
      <c r="O30" s="16">
        <v>10</v>
      </c>
      <c r="P30" s="20">
        <v>18</v>
      </c>
      <c r="Q30" s="18" t="s">
        <v>254</v>
      </c>
      <c r="R30" s="17" t="s">
        <v>250</v>
      </c>
      <c r="S30" s="17" t="s">
        <v>142</v>
      </c>
      <c r="T30" s="17" t="s">
        <v>143</v>
      </c>
    </row>
    <row r="31" s="1" customFormat="1" ht="96" customHeight="1" spans="1:20">
      <c r="A31" s="17">
        <f t="shared" si="4"/>
        <v>26</v>
      </c>
      <c r="B31" s="16" t="s">
        <v>13</v>
      </c>
      <c r="C31" s="16" t="s">
        <v>15</v>
      </c>
      <c r="D31" s="16" t="s">
        <v>17</v>
      </c>
      <c r="E31" s="16" t="s">
        <v>255</v>
      </c>
      <c r="F31" s="18" t="s">
        <v>256</v>
      </c>
      <c r="G31" s="16" t="s">
        <v>257</v>
      </c>
      <c r="H31" s="16" t="s">
        <v>258</v>
      </c>
      <c r="I31" s="16">
        <f t="shared" si="3"/>
        <v>185</v>
      </c>
      <c r="J31" s="16">
        <v>160</v>
      </c>
      <c r="K31" s="16">
        <v>25</v>
      </c>
      <c r="L31" s="16" t="s">
        <v>139</v>
      </c>
      <c r="M31" s="16">
        <v>4479</v>
      </c>
      <c r="N31" s="16">
        <v>12162</v>
      </c>
      <c r="O31" s="16">
        <v>196</v>
      </c>
      <c r="P31" s="16">
        <v>419</v>
      </c>
      <c r="Q31" s="18" t="s">
        <v>259</v>
      </c>
      <c r="R31" s="16" t="s">
        <v>260</v>
      </c>
      <c r="S31" s="16" t="s">
        <v>142</v>
      </c>
      <c r="T31" s="17" t="s">
        <v>143</v>
      </c>
    </row>
    <row r="32" s="1" customFormat="1" ht="122" customHeight="1" spans="1:20">
      <c r="A32" s="17">
        <f t="shared" si="4"/>
        <v>27</v>
      </c>
      <c r="B32" s="17" t="s">
        <v>13</v>
      </c>
      <c r="C32" s="19" t="s">
        <v>15</v>
      </c>
      <c r="D32" s="19" t="s">
        <v>17</v>
      </c>
      <c r="E32" s="16" t="s">
        <v>261</v>
      </c>
      <c r="F32" s="18" t="s">
        <v>262</v>
      </c>
      <c r="G32" s="16" t="s">
        <v>257</v>
      </c>
      <c r="H32" s="20" t="s">
        <v>258</v>
      </c>
      <c r="I32" s="16">
        <f t="shared" si="3"/>
        <v>54</v>
      </c>
      <c r="J32" s="16">
        <v>54</v>
      </c>
      <c r="K32" s="16"/>
      <c r="L32" s="16" t="s">
        <v>139</v>
      </c>
      <c r="M32" s="16">
        <v>381</v>
      </c>
      <c r="N32" s="16">
        <v>993</v>
      </c>
      <c r="O32" s="16">
        <v>15</v>
      </c>
      <c r="P32" s="20">
        <v>31</v>
      </c>
      <c r="Q32" s="18" t="s">
        <v>263</v>
      </c>
      <c r="R32" s="17" t="s">
        <v>260</v>
      </c>
      <c r="S32" s="17" t="s">
        <v>142</v>
      </c>
      <c r="T32" s="17"/>
    </row>
    <row r="33" s="1" customFormat="1" ht="104.4" spans="1:20">
      <c r="A33" s="17">
        <f t="shared" si="4"/>
        <v>28</v>
      </c>
      <c r="B33" s="17" t="s">
        <v>13</v>
      </c>
      <c r="C33" s="19" t="s">
        <v>15</v>
      </c>
      <c r="D33" s="19" t="s">
        <v>17</v>
      </c>
      <c r="E33" s="16" t="s">
        <v>264</v>
      </c>
      <c r="F33" s="18" t="s">
        <v>265</v>
      </c>
      <c r="G33" s="16" t="s">
        <v>257</v>
      </c>
      <c r="H33" s="20" t="s">
        <v>266</v>
      </c>
      <c r="I33" s="16">
        <f t="shared" si="3"/>
        <v>54</v>
      </c>
      <c r="J33" s="16">
        <v>54</v>
      </c>
      <c r="K33" s="16"/>
      <c r="L33" s="16" t="s">
        <v>139</v>
      </c>
      <c r="M33" s="16">
        <v>68</v>
      </c>
      <c r="N33" s="16">
        <v>194</v>
      </c>
      <c r="O33" s="16">
        <v>7</v>
      </c>
      <c r="P33" s="20">
        <v>11</v>
      </c>
      <c r="Q33" s="18" t="s">
        <v>267</v>
      </c>
      <c r="R33" s="17" t="s">
        <v>260</v>
      </c>
      <c r="S33" s="17" t="s">
        <v>142</v>
      </c>
      <c r="T33" s="17"/>
    </row>
    <row r="34" s="1" customFormat="1" ht="121" customHeight="1" spans="1:20">
      <c r="A34" s="17">
        <f t="shared" si="4"/>
        <v>29</v>
      </c>
      <c r="B34" s="17" t="s">
        <v>13</v>
      </c>
      <c r="C34" s="19" t="s">
        <v>15</v>
      </c>
      <c r="D34" s="19" t="s">
        <v>17</v>
      </c>
      <c r="E34" s="16" t="s">
        <v>268</v>
      </c>
      <c r="F34" s="18" t="s">
        <v>269</v>
      </c>
      <c r="G34" s="16" t="s">
        <v>257</v>
      </c>
      <c r="H34" s="20" t="s">
        <v>270</v>
      </c>
      <c r="I34" s="16">
        <f t="shared" si="3"/>
        <v>75</v>
      </c>
      <c r="J34" s="16">
        <v>75</v>
      </c>
      <c r="K34" s="16"/>
      <c r="L34" s="16" t="s">
        <v>139</v>
      </c>
      <c r="M34" s="16">
        <v>81</v>
      </c>
      <c r="N34" s="16">
        <v>274</v>
      </c>
      <c r="O34" s="16">
        <v>8</v>
      </c>
      <c r="P34" s="20">
        <v>12</v>
      </c>
      <c r="Q34" s="18" t="s">
        <v>271</v>
      </c>
      <c r="R34" s="17" t="s">
        <v>260</v>
      </c>
      <c r="S34" s="17" t="s">
        <v>142</v>
      </c>
      <c r="T34" s="17"/>
    </row>
    <row r="35" s="1" customFormat="1" ht="120" customHeight="1" spans="1:20">
      <c r="A35" s="17">
        <f t="shared" si="4"/>
        <v>30</v>
      </c>
      <c r="B35" s="17" t="s">
        <v>13</v>
      </c>
      <c r="C35" s="19" t="s">
        <v>15</v>
      </c>
      <c r="D35" s="19" t="s">
        <v>17</v>
      </c>
      <c r="E35" s="16" t="s">
        <v>272</v>
      </c>
      <c r="F35" s="18" t="s">
        <v>273</v>
      </c>
      <c r="G35" s="16" t="s">
        <v>257</v>
      </c>
      <c r="H35" s="20" t="s">
        <v>274</v>
      </c>
      <c r="I35" s="16">
        <f t="shared" si="3"/>
        <v>12.5</v>
      </c>
      <c r="J35" s="16"/>
      <c r="K35" s="16">
        <v>12.5</v>
      </c>
      <c r="L35" s="16" t="s">
        <v>139</v>
      </c>
      <c r="M35" s="16">
        <v>385</v>
      </c>
      <c r="N35" s="16">
        <v>1017</v>
      </c>
      <c r="O35" s="16">
        <v>11</v>
      </c>
      <c r="P35" s="20">
        <v>24</v>
      </c>
      <c r="Q35" s="18" t="s">
        <v>275</v>
      </c>
      <c r="R35" s="17" t="s">
        <v>260</v>
      </c>
      <c r="S35" s="17" t="s">
        <v>142</v>
      </c>
      <c r="T35" s="17" t="s">
        <v>229</v>
      </c>
    </row>
    <row r="36" s="1" customFormat="1" ht="118" customHeight="1" spans="1:20">
      <c r="A36" s="17">
        <f t="shared" si="4"/>
        <v>31</v>
      </c>
      <c r="B36" s="17" t="s">
        <v>13</v>
      </c>
      <c r="C36" s="19" t="s">
        <v>15</v>
      </c>
      <c r="D36" s="19" t="s">
        <v>17</v>
      </c>
      <c r="E36" s="16" t="s">
        <v>276</v>
      </c>
      <c r="F36" s="18" t="s">
        <v>277</v>
      </c>
      <c r="G36" s="16" t="s">
        <v>257</v>
      </c>
      <c r="H36" s="20" t="s">
        <v>270</v>
      </c>
      <c r="I36" s="16">
        <f t="shared" si="3"/>
        <v>9</v>
      </c>
      <c r="J36" s="16"/>
      <c r="K36" s="16">
        <v>9</v>
      </c>
      <c r="L36" s="16" t="s">
        <v>139</v>
      </c>
      <c r="M36" s="16">
        <v>119</v>
      </c>
      <c r="N36" s="16">
        <v>374</v>
      </c>
      <c r="O36" s="16">
        <v>6</v>
      </c>
      <c r="P36" s="20">
        <v>14</v>
      </c>
      <c r="Q36" s="18" t="s">
        <v>278</v>
      </c>
      <c r="R36" s="17" t="s">
        <v>260</v>
      </c>
      <c r="S36" s="17" t="s">
        <v>142</v>
      </c>
      <c r="T36" s="17" t="s">
        <v>229</v>
      </c>
    </row>
    <row r="37" s="1" customFormat="1" ht="113" customHeight="1" spans="1:20">
      <c r="A37" s="17">
        <f t="shared" ref="A37:A46" si="5">ROW()-5</f>
        <v>32</v>
      </c>
      <c r="B37" s="17" t="s">
        <v>13</v>
      </c>
      <c r="C37" s="19" t="s">
        <v>15</v>
      </c>
      <c r="D37" s="19" t="s">
        <v>17</v>
      </c>
      <c r="E37" s="16" t="s">
        <v>279</v>
      </c>
      <c r="F37" s="18" t="s">
        <v>280</v>
      </c>
      <c r="G37" s="16" t="s">
        <v>257</v>
      </c>
      <c r="H37" s="20" t="s">
        <v>281</v>
      </c>
      <c r="I37" s="16">
        <f t="shared" si="3"/>
        <v>50</v>
      </c>
      <c r="J37" s="16"/>
      <c r="K37" s="16">
        <v>50</v>
      </c>
      <c r="L37" s="16" t="s">
        <v>139</v>
      </c>
      <c r="M37" s="16">
        <v>298</v>
      </c>
      <c r="N37" s="16">
        <v>928</v>
      </c>
      <c r="O37" s="16">
        <v>15</v>
      </c>
      <c r="P37" s="20">
        <v>39</v>
      </c>
      <c r="Q37" s="18" t="s">
        <v>282</v>
      </c>
      <c r="R37" s="17" t="s">
        <v>260</v>
      </c>
      <c r="S37" s="17" t="s">
        <v>142</v>
      </c>
      <c r="T37" s="17" t="s">
        <v>229</v>
      </c>
    </row>
    <row r="38" s="1" customFormat="1" ht="128" customHeight="1" spans="1:20">
      <c r="A38" s="17">
        <f t="shared" si="5"/>
        <v>33</v>
      </c>
      <c r="B38" s="17" t="s">
        <v>13</v>
      </c>
      <c r="C38" s="19" t="s">
        <v>15</v>
      </c>
      <c r="D38" s="19" t="s">
        <v>17</v>
      </c>
      <c r="E38" s="16" t="s">
        <v>283</v>
      </c>
      <c r="F38" s="18" t="s">
        <v>284</v>
      </c>
      <c r="G38" s="16" t="s">
        <v>285</v>
      </c>
      <c r="H38" s="20" t="s">
        <v>286</v>
      </c>
      <c r="I38" s="16">
        <f t="shared" si="3"/>
        <v>4.5</v>
      </c>
      <c r="J38" s="16"/>
      <c r="K38" s="16">
        <v>4.5</v>
      </c>
      <c r="L38" s="16" t="s">
        <v>139</v>
      </c>
      <c r="M38" s="16">
        <v>434</v>
      </c>
      <c r="N38" s="16">
        <v>1227</v>
      </c>
      <c r="O38" s="16">
        <v>7</v>
      </c>
      <c r="P38" s="20">
        <v>15</v>
      </c>
      <c r="Q38" s="18" t="s">
        <v>287</v>
      </c>
      <c r="R38" s="17" t="s">
        <v>288</v>
      </c>
      <c r="S38" s="17" t="s">
        <v>142</v>
      </c>
      <c r="T38" s="17" t="s">
        <v>229</v>
      </c>
    </row>
    <row r="39" s="1" customFormat="1" ht="137" customHeight="1" spans="1:20">
      <c r="A39" s="17">
        <f t="shared" si="5"/>
        <v>34</v>
      </c>
      <c r="B39" s="17" t="s">
        <v>13</v>
      </c>
      <c r="C39" s="19" t="s">
        <v>15</v>
      </c>
      <c r="D39" s="19" t="s">
        <v>17</v>
      </c>
      <c r="E39" s="16" t="s">
        <v>289</v>
      </c>
      <c r="F39" s="18" t="s">
        <v>290</v>
      </c>
      <c r="G39" s="16" t="s">
        <v>285</v>
      </c>
      <c r="H39" s="20" t="s">
        <v>291</v>
      </c>
      <c r="I39" s="16">
        <f t="shared" si="3"/>
        <v>20.5</v>
      </c>
      <c r="J39" s="16"/>
      <c r="K39" s="16">
        <v>20.5</v>
      </c>
      <c r="L39" s="16" t="s">
        <v>139</v>
      </c>
      <c r="M39" s="16">
        <v>545</v>
      </c>
      <c r="N39" s="16">
        <v>1475</v>
      </c>
      <c r="O39" s="16">
        <v>12</v>
      </c>
      <c r="P39" s="20">
        <v>28</v>
      </c>
      <c r="Q39" s="18" t="s">
        <v>292</v>
      </c>
      <c r="R39" s="17" t="s">
        <v>288</v>
      </c>
      <c r="S39" s="17" t="s">
        <v>142</v>
      </c>
      <c r="T39" s="17" t="s">
        <v>229</v>
      </c>
    </row>
    <row r="40" s="1" customFormat="1" ht="139.2" spans="1:20">
      <c r="A40" s="17">
        <f t="shared" si="5"/>
        <v>35</v>
      </c>
      <c r="B40" s="17" t="s">
        <v>13</v>
      </c>
      <c r="C40" s="19" t="s">
        <v>15</v>
      </c>
      <c r="D40" s="19" t="s">
        <v>17</v>
      </c>
      <c r="E40" s="16" t="s">
        <v>293</v>
      </c>
      <c r="F40" s="18" t="s">
        <v>294</v>
      </c>
      <c r="G40" s="16" t="s">
        <v>285</v>
      </c>
      <c r="H40" s="20" t="s">
        <v>295</v>
      </c>
      <c r="I40" s="16">
        <f t="shared" si="3"/>
        <v>14.4</v>
      </c>
      <c r="J40" s="16">
        <v>14.4</v>
      </c>
      <c r="K40" s="16"/>
      <c r="L40" s="16" t="s">
        <v>139</v>
      </c>
      <c r="M40" s="16">
        <v>503</v>
      </c>
      <c r="N40" s="16">
        <v>1419</v>
      </c>
      <c r="O40" s="16">
        <v>4</v>
      </c>
      <c r="P40" s="20">
        <v>8</v>
      </c>
      <c r="Q40" s="18" t="s">
        <v>296</v>
      </c>
      <c r="R40" s="17" t="s">
        <v>288</v>
      </c>
      <c r="S40" s="17" t="s">
        <v>142</v>
      </c>
      <c r="T40" s="17" t="s">
        <v>297</v>
      </c>
    </row>
    <row r="41" s="1" customFormat="1" ht="87" spans="1:20">
      <c r="A41" s="17">
        <f t="shared" si="5"/>
        <v>36</v>
      </c>
      <c r="B41" s="17" t="s">
        <v>13</v>
      </c>
      <c r="C41" s="19" t="s">
        <v>15</v>
      </c>
      <c r="D41" s="19" t="s">
        <v>17</v>
      </c>
      <c r="E41" s="16" t="s">
        <v>298</v>
      </c>
      <c r="F41" s="18" t="s">
        <v>299</v>
      </c>
      <c r="G41" s="16" t="s">
        <v>285</v>
      </c>
      <c r="H41" s="20" t="s">
        <v>300</v>
      </c>
      <c r="I41" s="16">
        <f t="shared" si="3"/>
        <v>1.56</v>
      </c>
      <c r="J41" s="16">
        <v>1.56</v>
      </c>
      <c r="K41" s="16"/>
      <c r="L41" s="16" t="s">
        <v>139</v>
      </c>
      <c r="M41" s="16">
        <v>487</v>
      </c>
      <c r="N41" s="16">
        <v>1324</v>
      </c>
      <c r="O41" s="16">
        <v>15</v>
      </c>
      <c r="P41" s="20">
        <v>32</v>
      </c>
      <c r="Q41" s="18" t="s">
        <v>301</v>
      </c>
      <c r="R41" s="17" t="s">
        <v>288</v>
      </c>
      <c r="S41" s="17" t="s">
        <v>142</v>
      </c>
      <c r="T41" s="17" t="s">
        <v>143</v>
      </c>
    </row>
    <row r="42" s="1" customFormat="1" ht="87" spans="1:20">
      <c r="A42" s="17">
        <f t="shared" si="5"/>
        <v>37</v>
      </c>
      <c r="B42" s="17" t="s">
        <v>13</v>
      </c>
      <c r="C42" s="19" t="s">
        <v>15</v>
      </c>
      <c r="D42" s="19" t="s">
        <v>17</v>
      </c>
      <c r="E42" s="16" t="s">
        <v>302</v>
      </c>
      <c r="F42" s="18" t="s">
        <v>303</v>
      </c>
      <c r="G42" s="16" t="s">
        <v>285</v>
      </c>
      <c r="H42" s="20" t="s">
        <v>291</v>
      </c>
      <c r="I42" s="16">
        <f t="shared" si="3"/>
        <v>10.5</v>
      </c>
      <c r="J42" s="16">
        <v>10.5</v>
      </c>
      <c r="K42" s="16"/>
      <c r="L42" s="16" t="s">
        <v>139</v>
      </c>
      <c r="M42" s="16">
        <v>545</v>
      </c>
      <c r="N42" s="16">
        <v>1475</v>
      </c>
      <c r="O42" s="16">
        <v>12</v>
      </c>
      <c r="P42" s="20">
        <v>28</v>
      </c>
      <c r="Q42" s="18" t="s">
        <v>304</v>
      </c>
      <c r="R42" s="17" t="s">
        <v>288</v>
      </c>
      <c r="S42" s="17" t="s">
        <v>142</v>
      </c>
      <c r="T42" s="17" t="s">
        <v>143</v>
      </c>
    </row>
    <row r="43" s="1" customFormat="1" ht="163" customHeight="1" spans="1:20">
      <c r="A43" s="17">
        <f t="shared" si="5"/>
        <v>38</v>
      </c>
      <c r="B43" s="17" t="s">
        <v>13</v>
      </c>
      <c r="C43" s="19" t="s">
        <v>15</v>
      </c>
      <c r="D43" s="19" t="s">
        <v>17</v>
      </c>
      <c r="E43" s="16" t="s">
        <v>305</v>
      </c>
      <c r="F43" s="18" t="s">
        <v>306</v>
      </c>
      <c r="G43" s="16" t="s">
        <v>285</v>
      </c>
      <c r="H43" s="20" t="s">
        <v>307</v>
      </c>
      <c r="I43" s="16">
        <f t="shared" si="3"/>
        <v>3</v>
      </c>
      <c r="J43" s="16">
        <v>3</v>
      </c>
      <c r="K43" s="16"/>
      <c r="L43" s="16" t="s">
        <v>139</v>
      </c>
      <c r="M43" s="16">
        <v>427</v>
      </c>
      <c r="N43" s="16">
        <v>1044</v>
      </c>
      <c r="O43" s="16">
        <v>7</v>
      </c>
      <c r="P43" s="20">
        <v>14</v>
      </c>
      <c r="Q43" s="18" t="s">
        <v>308</v>
      </c>
      <c r="R43" s="17" t="s">
        <v>288</v>
      </c>
      <c r="S43" s="17" t="s">
        <v>142</v>
      </c>
      <c r="T43" s="17" t="s">
        <v>297</v>
      </c>
    </row>
    <row r="44" s="1" customFormat="1" ht="109" customHeight="1" spans="1:20">
      <c r="A44" s="17">
        <f t="shared" si="5"/>
        <v>39</v>
      </c>
      <c r="B44" s="17" t="s">
        <v>13</v>
      </c>
      <c r="C44" s="19" t="s">
        <v>15</v>
      </c>
      <c r="D44" s="19" t="s">
        <v>17</v>
      </c>
      <c r="E44" s="16" t="s">
        <v>309</v>
      </c>
      <c r="F44" s="18" t="s">
        <v>310</v>
      </c>
      <c r="G44" s="16" t="s">
        <v>311</v>
      </c>
      <c r="H44" s="20" t="s">
        <v>312</v>
      </c>
      <c r="I44" s="16">
        <f t="shared" si="3"/>
        <v>3</v>
      </c>
      <c r="J44" s="16">
        <v>3</v>
      </c>
      <c r="K44" s="16"/>
      <c r="L44" s="16" t="s">
        <v>139</v>
      </c>
      <c r="M44" s="16">
        <v>560</v>
      </c>
      <c r="N44" s="16">
        <v>1736</v>
      </c>
      <c r="O44" s="16">
        <v>39</v>
      </c>
      <c r="P44" s="20">
        <v>85</v>
      </c>
      <c r="Q44" s="18" t="s">
        <v>313</v>
      </c>
      <c r="R44" s="17" t="s">
        <v>311</v>
      </c>
      <c r="S44" s="17" t="s">
        <v>142</v>
      </c>
      <c r="T44" s="17" t="s">
        <v>143</v>
      </c>
    </row>
    <row r="45" s="1" customFormat="1" ht="95" customHeight="1" spans="1:20">
      <c r="A45" s="17">
        <f t="shared" si="5"/>
        <v>40</v>
      </c>
      <c r="B45" s="17" t="s">
        <v>13</v>
      </c>
      <c r="C45" s="19" t="s">
        <v>15</v>
      </c>
      <c r="D45" s="19" t="s">
        <v>17</v>
      </c>
      <c r="E45" s="16" t="s">
        <v>314</v>
      </c>
      <c r="F45" s="18" t="s">
        <v>315</v>
      </c>
      <c r="G45" s="16" t="s">
        <v>316</v>
      </c>
      <c r="H45" s="20" t="s">
        <v>317</v>
      </c>
      <c r="I45" s="16">
        <f t="shared" si="3"/>
        <v>18</v>
      </c>
      <c r="J45" s="16">
        <v>18</v>
      </c>
      <c r="K45" s="16"/>
      <c r="L45" s="16" t="s">
        <v>139</v>
      </c>
      <c r="M45" s="16">
        <v>3954</v>
      </c>
      <c r="N45" s="16">
        <v>9865</v>
      </c>
      <c r="O45" s="16">
        <v>110</v>
      </c>
      <c r="P45" s="20">
        <v>157</v>
      </c>
      <c r="Q45" s="18" t="s">
        <v>318</v>
      </c>
      <c r="R45" s="17" t="s">
        <v>319</v>
      </c>
      <c r="S45" s="17" t="s">
        <v>142</v>
      </c>
      <c r="T45" s="17" t="s">
        <v>143</v>
      </c>
    </row>
    <row r="46" s="1" customFormat="1" ht="147" customHeight="1" spans="1:20">
      <c r="A46" s="17">
        <f t="shared" si="5"/>
        <v>41</v>
      </c>
      <c r="B46" s="17" t="s">
        <v>13</v>
      </c>
      <c r="C46" s="19" t="s">
        <v>15</v>
      </c>
      <c r="D46" s="19" t="s">
        <v>17</v>
      </c>
      <c r="E46" s="16" t="s">
        <v>320</v>
      </c>
      <c r="F46" s="18" t="s">
        <v>321</v>
      </c>
      <c r="G46" s="16" t="s">
        <v>316</v>
      </c>
      <c r="H46" s="20" t="s">
        <v>322</v>
      </c>
      <c r="I46" s="16">
        <f t="shared" si="3"/>
        <v>30</v>
      </c>
      <c r="J46" s="16">
        <v>30</v>
      </c>
      <c r="K46" s="16"/>
      <c r="L46" s="16" t="s">
        <v>139</v>
      </c>
      <c r="M46" s="16">
        <v>578</v>
      </c>
      <c r="N46" s="16">
        <v>1385</v>
      </c>
      <c r="O46" s="16">
        <v>20</v>
      </c>
      <c r="P46" s="20">
        <v>24</v>
      </c>
      <c r="Q46" s="18" t="s">
        <v>323</v>
      </c>
      <c r="R46" s="17" t="s">
        <v>319</v>
      </c>
      <c r="S46" s="17" t="s">
        <v>142</v>
      </c>
      <c r="T46" s="17" t="s">
        <v>143</v>
      </c>
    </row>
    <row r="47" s="1" customFormat="1" ht="139.2" spans="1:20">
      <c r="A47" s="17">
        <f t="shared" ref="A47:A56" si="6">ROW()-5</f>
        <v>42</v>
      </c>
      <c r="B47" s="17" t="s">
        <v>13</v>
      </c>
      <c r="C47" s="19" t="s">
        <v>15</v>
      </c>
      <c r="D47" s="19" t="s">
        <v>17</v>
      </c>
      <c r="E47" s="16" t="s">
        <v>324</v>
      </c>
      <c r="F47" s="18" t="s">
        <v>325</v>
      </c>
      <c r="G47" s="16" t="s">
        <v>316</v>
      </c>
      <c r="H47" s="20" t="s">
        <v>326</v>
      </c>
      <c r="I47" s="16">
        <f t="shared" si="3"/>
        <v>39</v>
      </c>
      <c r="J47" s="16">
        <v>39</v>
      </c>
      <c r="K47" s="16"/>
      <c r="L47" s="16" t="s">
        <v>139</v>
      </c>
      <c r="M47" s="16">
        <v>437</v>
      </c>
      <c r="N47" s="16">
        <v>1036</v>
      </c>
      <c r="O47" s="16">
        <v>15</v>
      </c>
      <c r="P47" s="20">
        <v>19</v>
      </c>
      <c r="Q47" s="18" t="s">
        <v>327</v>
      </c>
      <c r="R47" s="17" t="s">
        <v>319</v>
      </c>
      <c r="S47" s="17" t="s">
        <v>142</v>
      </c>
      <c r="T47" s="17" t="s">
        <v>297</v>
      </c>
    </row>
    <row r="48" s="1" customFormat="1" ht="179" customHeight="1" spans="1:20">
      <c r="A48" s="17">
        <f t="shared" si="6"/>
        <v>43</v>
      </c>
      <c r="B48" s="17" t="s">
        <v>13</v>
      </c>
      <c r="C48" s="19" t="s">
        <v>15</v>
      </c>
      <c r="D48" s="19" t="s">
        <v>17</v>
      </c>
      <c r="E48" s="16" t="s">
        <v>328</v>
      </c>
      <c r="F48" s="18" t="s">
        <v>329</v>
      </c>
      <c r="G48" s="16" t="s">
        <v>316</v>
      </c>
      <c r="H48" s="20" t="s">
        <v>330</v>
      </c>
      <c r="I48" s="16">
        <f t="shared" si="3"/>
        <v>90</v>
      </c>
      <c r="J48" s="16">
        <v>90</v>
      </c>
      <c r="K48" s="16"/>
      <c r="L48" s="16" t="s">
        <v>139</v>
      </c>
      <c r="M48" s="16">
        <v>421</v>
      </c>
      <c r="N48" s="16">
        <v>930</v>
      </c>
      <c r="O48" s="16">
        <v>10</v>
      </c>
      <c r="P48" s="20">
        <v>10</v>
      </c>
      <c r="Q48" s="18" t="s">
        <v>331</v>
      </c>
      <c r="R48" s="17" t="s">
        <v>319</v>
      </c>
      <c r="S48" s="17" t="s">
        <v>142</v>
      </c>
      <c r="T48" s="17" t="s">
        <v>143</v>
      </c>
    </row>
    <row r="49" s="1" customFormat="1" ht="169" customHeight="1" spans="1:20">
      <c r="A49" s="17">
        <f t="shared" si="6"/>
        <v>44</v>
      </c>
      <c r="B49" s="17" t="s">
        <v>13</v>
      </c>
      <c r="C49" s="19" t="s">
        <v>15</v>
      </c>
      <c r="D49" s="19" t="s">
        <v>17</v>
      </c>
      <c r="E49" s="16" t="s">
        <v>332</v>
      </c>
      <c r="F49" s="18" t="s">
        <v>333</v>
      </c>
      <c r="G49" s="16" t="s">
        <v>316</v>
      </c>
      <c r="H49" s="20" t="s">
        <v>317</v>
      </c>
      <c r="I49" s="16">
        <f t="shared" si="3"/>
        <v>71.4</v>
      </c>
      <c r="J49" s="16">
        <v>71.4</v>
      </c>
      <c r="K49" s="16"/>
      <c r="L49" s="16" t="s">
        <v>139</v>
      </c>
      <c r="M49" s="16">
        <v>284</v>
      </c>
      <c r="N49" s="16">
        <v>1160</v>
      </c>
      <c r="O49" s="16">
        <v>11</v>
      </c>
      <c r="P49" s="20">
        <v>21</v>
      </c>
      <c r="Q49" s="18" t="s">
        <v>334</v>
      </c>
      <c r="R49" s="17" t="s">
        <v>319</v>
      </c>
      <c r="S49" s="17" t="s">
        <v>142</v>
      </c>
      <c r="T49" s="17" t="s">
        <v>143</v>
      </c>
    </row>
    <row r="50" s="1" customFormat="1" ht="162" customHeight="1" spans="1:20">
      <c r="A50" s="17">
        <f t="shared" si="6"/>
        <v>45</v>
      </c>
      <c r="B50" s="17" t="s">
        <v>13</v>
      </c>
      <c r="C50" s="19" t="s">
        <v>15</v>
      </c>
      <c r="D50" s="19" t="s">
        <v>17</v>
      </c>
      <c r="E50" s="16" t="s">
        <v>335</v>
      </c>
      <c r="F50" s="18" t="s">
        <v>336</v>
      </c>
      <c r="G50" s="16" t="s">
        <v>316</v>
      </c>
      <c r="H50" s="20" t="s">
        <v>337</v>
      </c>
      <c r="I50" s="16">
        <f t="shared" si="3"/>
        <v>78</v>
      </c>
      <c r="J50" s="16">
        <v>78</v>
      </c>
      <c r="K50" s="16"/>
      <c r="L50" s="16" t="s">
        <v>139</v>
      </c>
      <c r="M50" s="16">
        <v>1309</v>
      </c>
      <c r="N50" s="16">
        <v>3131</v>
      </c>
      <c r="O50" s="16">
        <v>31</v>
      </c>
      <c r="P50" s="20">
        <v>50</v>
      </c>
      <c r="Q50" s="18" t="s">
        <v>338</v>
      </c>
      <c r="R50" s="17" t="s">
        <v>319</v>
      </c>
      <c r="S50" s="17" t="s">
        <v>142</v>
      </c>
      <c r="T50" s="17" t="s">
        <v>297</v>
      </c>
    </row>
    <row r="51" s="1" customFormat="1" ht="159" customHeight="1" spans="1:20">
      <c r="A51" s="17">
        <f t="shared" si="6"/>
        <v>46</v>
      </c>
      <c r="B51" s="17" t="s">
        <v>13</v>
      </c>
      <c r="C51" s="19" t="s">
        <v>15</v>
      </c>
      <c r="D51" s="19" t="s">
        <v>17</v>
      </c>
      <c r="E51" s="16" t="s">
        <v>339</v>
      </c>
      <c r="F51" s="18" t="s">
        <v>340</v>
      </c>
      <c r="G51" s="16" t="s">
        <v>316</v>
      </c>
      <c r="H51" s="20" t="s">
        <v>341</v>
      </c>
      <c r="I51" s="16">
        <f t="shared" si="3"/>
        <v>54</v>
      </c>
      <c r="J51" s="16">
        <v>54</v>
      </c>
      <c r="K51" s="16"/>
      <c r="L51" s="16" t="s">
        <v>139</v>
      </c>
      <c r="M51" s="16">
        <v>591</v>
      </c>
      <c r="N51" s="16">
        <v>1359</v>
      </c>
      <c r="O51" s="16">
        <v>21</v>
      </c>
      <c r="P51" s="20">
        <v>30</v>
      </c>
      <c r="Q51" s="18" t="s">
        <v>342</v>
      </c>
      <c r="R51" s="17" t="s">
        <v>319</v>
      </c>
      <c r="S51" s="17" t="s">
        <v>142</v>
      </c>
      <c r="T51" s="17" t="s">
        <v>143</v>
      </c>
    </row>
    <row r="52" s="1" customFormat="1" ht="139.2" spans="1:20">
      <c r="A52" s="17">
        <f t="shared" si="6"/>
        <v>47</v>
      </c>
      <c r="B52" s="17" t="s">
        <v>13</v>
      </c>
      <c r="C52" s="19" t="s">
        <v>15</v>
      </c>
      <c r="D52" s="19" t="s">
        <v>17</v>
      </c>
      <c r="E52" s="16" t="s">
        <v>343</v>
      </c>
      <c r="F52" s="18" t="s">
        <v>344</v>
      </c>
      <c r="G52" s="16" t="s">
        <v>316</v>
      </c>
      <c r="H52" s="20" t="s">
        <v>345</v>
      </c>
      <c r="I52" s="16">
        <f t="shared" si="3"/>
        <v>3.6</v>
      </c>
      <c r="J52" s="16">
        <v>3.6</v>
      </c>
      <c r="K52" s="16"/>
      <c r="L52" s="16" t="s">
        <v>139</v>
      </c>
      <c r="M52" s="16">
        <v>312</v>
      </c>
      <c r="N52" s="16">
        <v>760</v>
      </c>
      <c r="O52" s="16">
        <v>2</v>
      </c>
      <c r="P52" s="20">
        <v>3</v>
      </c>
      <c r="Q52" s="18" t="s">
        <v>346</v>
      </c>
      <c r="R52" s="17" t="s">
        <v>319</v>
      </c>
      <c r="S52" s="17" t="s">
        <v>142</v>
      </c>
      <c r="T52" s="17" t="s">
        <v>143</v>
      </c>
    </row>
    <row r="53" s="1" customFormat="1" ht="121.8" spans="1:20">
      <c r="A53" s="17">
        <f t="shared" si="6"/>
        <v>48</v>
      </c>
      <c r="B53" s="17" t="s">
        <v>13</v>
      </c>
      <c r="C53" s="19" t="s">
        <v>15</v>
      </c>
      <c r="D53" s="19" t="s">
        <v>17</v>
      </c>
      <c r="E53" s="16" t="s">
        <v>347</v>
      </c>
      <c r="F53" s="18" t="s">
        <v>348</v>
      </c>
      <c r="G53" s="16" t="s">
        <v>316</v>
      </c>
      <c r="H53" s="20" t="s">
        <v>322</v>
      </c>
      <c r="I53" s="16">
        <f t="shared" si="3"/>
        <v>2</v>
      </c>
      <c r="J53" s="16">
        <v>2</v>
      </c>
      <c r="K53" s="16"/>
      <c r="L53" s="16" t="s">
        <v>139</v>
      </c>
      <c r="M53" s="16">
        <v>578</v>
      </c>
      <c r="N53" s="16">
        <v>1385</v>
      </c>
      <c r="O53" s="16">
        <v>20</v>
      </c>
      <c r="P53" s="20">
        <v>24</v>
      </c>
      <c r="Q53" s="18" t="s">
        <v>349</v>
      </c>
      <c r="R53" s="17" t="s">
        <v>319</v>
      </c>
      <c r="S53" s="17" t="s">
        <v>142</v>
      </c>
      <c r="T53" s="17" t="s">
        <v>143</v>
      </c>
    </row>
    <row r="54" s="1" customFormat="1" ht="156.6" spans="1:20">
      <c r="A54" s="17">
        <f t="shared" si="6"/>
        <v>49</v>
      </c>
      <c r="B54" s="17" t="s">
        <v>13</v>
      </c>
      <c r="C54" s="19" t="s">
        <v>15</v>
      </c>
      <c r="D54" s="19" t="s">
        <v>17</v>
      </c>
      <c r="E54" s="16" t="s">
        <v>350</v>
      </c>
      <c r="F54" s="18" t="s">
        <v>351</v>
      </c>
      <c r="G54" s="16" t="s">
        <v>316</v>
      </c>
      <c r="H54" s="20" t="s">
        <v>337</v>
      </c>
      <c r="I54" s="16">
        <f t="shared" si="3"/>
        <v>9</v>
      </c>
      <c r="J54" s="16">
        <v>9</v>
      </c>
      <c r="K54" s="16"/>
      <c r="L54" s="16" t="s">
        <v>139</v>
      </c>
      <c r="M54" s="16">
        <v>1309</v>
      </c>
      <c r="N54" s="16">
        <v>3131</v>
      </c>
      <c r="O54" s="16">
        <v>31</v>
      </c>
      <c r="P54" s="20">
        <v>50</v>
      </c>
      <c r="Q54" s="18" t="s">
        <v>352</v>
      </c>
      <c r="R54" s="17" t="s">
        <v>319</v>
      </c>
      <c r="S54" s="17" t="s">
        <v>142</v>
      </c>
      <c r="T54" s="17" t="s">
        <v>176</v>
      </c>
    </row>
    <row r="55" s="1" customFormat="1" ht="159" customHeight="1" spans="1:20">
      <c r="A55" s="17">
        <f t="shared" si="6"/>
        <v>50</v>
      </c>
      <c r="B55" s="17" t="s">
        <v>13</v>
      </c>
      <c r="C55" s="19" t="s">
        <v>15</v>
      </c>
      <c r="D55" s="19" t="s">
        <v>17</v>
      </c>
      <c r="E55" s="16" t="s">
        <v>353</v>
      </c>
      <c r="F55" s="18" t="s">
        <v>354</v>
      </c>
      <c r="G55" s="16" t="s">
        <v>316</v>
      </c>
      <c r="H55" s="20" t="s">
        <v>337</v>
      </c>
      <c r="I55" s="16">
        <f t="shared" si="3"/>
        <v>25</v>
      </c>
      <c r="J55" s="16"/>
      <c r="K55" s="16">
        <v>25</v>
      </c>
      <c r="L55" s="16" t="s">
        <v>139</v>
      </c>
      <c r="M55" s="16">
        <v>1309</v>
      </c>
      <c r="N55" s="16">
        <v>3131</v>
      </c>
      <c r="O55" s="16">
        <v>31</v>
      </c>
      <c r="P55" s="20">
        <v>50</v>
      </c>
      <c r="Q55" s="18" t="s">
        <v>355</v>
      </c>
      <c r="R55" s="17" t="s">
        <v>319</v>
      </c>
      <c r="S55" s="17" t="s">
        <v>142</v>
      </c>
      <c r="T55" s="17" t="s">
        <v>356</v>
      </c>
    </row>
    <row r="56" s="1" customFormat="1" ht="139.2" spans="1:20">
      <c r="A56" s="17">
        <f t="shared" si="6"/>
        <v>51</v>
      </c>
      <c r="B56" s="17" t="s">
        <v>13</v>
      </c>
      <c r="C56" s="19" t="s">
        <v>15</v>
      </c>
      <c r="D56" s="19" t="s">
        <v>17</v>
      </c>
      <c r="E56" s="16" t="s">
        <v>357</v>
      </c>
      <c r="F56" s="18" t="s">
        <v>358</v>
      </c>
      <c r="G56" s="16" t="s">
        <v>316</v>
      </c>
      <c r="H56" s="20" t="s">
        <v>337</v>
      </c>
      <c r="I56" s="16">
        <f t="shared" si="3"/>
        <v>40</v>
      </c>
      <c r="J56" s="16"/>
      <c r="K56" s="16">
        <v>40</v>
      </c>
      <c r="L56" s="16" t="s">
        <v>139</v>
      </c>
      <c r="M56" s="16">
        <v>1309</v>
      </c>
      <c r="N56" s="16">
        <v>3131</v>
      </c>
      <c r="O56" s="16">
        <v>31</v>
      </c>
      <c r="P56" s="20">
        <v>50</v>
      </c>
      <c r="Q56" s="18" t="s">
        <v>359</v>
      </c>
      <c r="R56" s="17" t="s">
        <v>319</v>
      </c>
      <c r="S56" s="17" t="s">
        <v>142</v>
      </c>
      <c r="T56" s="17" t="s">
        <v>356</v>
      </c>
    </row>
    <row r="57" s="1" customFormat="1" ht="136" customHeight="1" spans="1:20">
      <c r="A57" s="17">
        <f t="shared" ref="A57:A66" si="7">ROW()-5</f>
        <v>52</v>
      </c>
      <c r="B57" s="17" t="s">
        <v>13</v>
      </c>
      <c r="C57" s="19" t="s">
        <v>15</v>
      </c>
      <c r="D57" s="19" t="s">
        <v>17</v>
      </c>
      <c r="E57" s="16" t="s">
        <v>360</v>
      </c>
      <c r="F57" s="18" t="s">
        <v>361</v>
      </c>
      <c r="G57" s="16" t="s">
        <v>362</v>
      </c>
      <c r="H57" s="20" t="s">
        <v>363</v>
      </c>
      <c r="I57" s="16">
        <f t="shared" si="3"/>
        <v>37</v>
      </c>
      <c r="J57" s="16">
        <v>37</v>
      </c>
      <c r="K57" s="16"/>
      <c r="L57" s="16" t="s">
        <v>139</v>
      </c>
      <c r="M57" s="16">
        <v>369</v>
      </c>
      <c r="N57" s="16">
        <v>1023</v>
      </c>
      <c r="O57" s="16">
        <v>16</v>
      </c>
      <c r="P57" s="20">
        <v>29</v>
      </c>
      <c r="Q57" s="18" t="s">
        <v>364</v>
      </c>
      <c r="R57" s="17" t="s">
        <v>365</v>
      </c>
      <c r="S57" s="17" t="s">
        <v>142</v>
      </c>
      <c r="T57" s="17"/>
    </row>
    <row r="58" s="1" customFormat="1" ht="96" customHeight="1" spans="1:20">
      <c r="A58" s="17">
        <f t="shared" si="7"/>
        <v>53</v>
      </c>
      <c r="B58" s="17" t="s">
        <v>13</v>
      </c>
      <c r="C58" s="19" t="s">
        <v>15</v>
      </c>
      <c r="D58" s="19" t="s">
        <v>17</v>
      </c>
      <c r="E58" s="16" t="s">
        <v>366</v>
      </c>
      <c r="F58" s="18" t="s">
        <v>367</v>
      </c>
      <c r="G58" s="16" t="s">
        <v>362</v>
      </c>
      <c r="H58" s="20" t="s">
        <v>363</v>
      </c>
      <c r="I58" s="16">
        <f t="shared" si="3"/>
        <v>27.47</v>
      </c>
      <c r="J58" s="16">
        <v>27.47</v>
      </c>
      <c r="K58" s="16"/>
      <c r="L58" s="16" t="s">
        <v>139</v>
      </c>
      <c r="M58" s="16">
        <v>369</v>
      </c>
      <c r="N58" s="16">
        <v>1023</v>
      </c>
      <c r="O58" s="16">
        <v>16</v>
      </c>
      <c r="P58" s="20">
        <v>29</v>
      </c>
      <c r="Q58" s="18" t="s">
        <v>368</v>
      </c>
      <c r="R58" s="17" t="s">
        <v>365</v>
      </c>
      <c r="S58" s="17" t="s">
        <v>142</v>
      </c>
      <c r="T58" s="17"/>
    </row>
    <row r="59" s="1" customFormat="1" ht="104.4" spans="1:20">
      <c r="A59" s="17">
        <f t="shared" si="7"/>
        <v>54</v>
      </c>
      <c r="B59" s="17" t="s">
        <v>13</v>
      </c>
      <c r="C59" s="19" t="s">
        <v>15</v>
      </c>
      <c r="D59" s="19" t="s">
        <v>17</v>
      </c>
      <c r="E59" s="16" t="s">
        <v>369</v>
      </c>
      <c r="F59" s="18" t="s">
        <v>370</v>
      </c>
      <c r="G59" s="16" t="s">
        <v>362</v>
      </c>
      <c r="H59" s="20" t="s">
        <v>371</v>
      </c>
      <c r="I59" s="16">
        <f t="shared" si="3"/>
        <v>87</v>
      </c>
      <c r="J59" s="16">
        <v>87</v>
      </c>
      <c r="K59" s="16"/>
      <c r="L59" s="16" t="s">
        <v>139</v>
      </c>
      <c r="M59" s="16">
        <v>356</v>
      </c>
      <c r="N59" s="16">
        <v>962</v>
      </c>
      <c r="O59" s="16">
        <v>12</v>
      </c>
      <c r="P59" s="20">
        <v>18</v>
      </c>
      <c r="Q59" s="18" t="s">
        <v>372</v>
      </c>
      <c r="R59" s="17" t="s">
        <v>365</v>
      </c>
      <c r="S59" s="17" t="s">
        <v>142</v>
      </c>
      <c r="T59" s="17" t="s">
        <v>176</v>
      </c>
    </row>
    <row r="60" s="1" customFormat="1" ht="69.6" spans="1:20">
      <c r="A60" s="17">
        <f t="shared" si="7"/>
        <v>55</v>
      </c>
      <c r="B60" s="17" t="s">
        <v>13</v>
      </c>
      <c r="C60" s="19" t="s">
        <v>15</v>
      </c>
      <c r="D60" s="19" t="s">
        <v>17</v>
      </c>
      <c r="E60" s="16" t="s">
        <v>373</v>
      </c>
      <c r="F60" s="18" t="s">
        <v>374</v>
      </c>
      <c r="G60" s="16" t="s">
        <v>362</v>
      </c>
      <c r="H60" s="20" t="s">
        <v>371</v>
      </c>
      <c r="I60" s="16">
        <f t="shared" si="3"/>
        <v>7.3</v>
      </c>
      <c r="J60" s="16">
        <v>7.3</v>
      </c>
      <c r="K60" s="16"/>
      <c r="L60" s="16" t="s">
        <v>139</v>
      </c>
      <c r="M60" s="16">
        <v>356</v>
      </c>
      <c r="N60" s="16">
        <v>962</v>
      </c>
      <c r="O60" s="16">
        <v>12</v>
      </c>
      <c r="P60" s="20">
        <v>18</v>
      </c>
      <c r="Q60" s="18" t="s">
        <v>375</v>
      </c>
      <c r="R60" s="17" t="s">
        <v>365</v>
      </c>
      <c r="S60" s="17" t="s">
        <v>142</v>
      </c>
      <c r="T60" s="17" t="s">
        <v>176</v>
      </c>
    </row>
    <row r="61" s="1" customFormat="1" ht="52.2" spans="1:20">
      <c r="A61" s="17">
        <f t="shared" si="7"/>
        <v>56</v>
      </c>
      <c r="B61" s="17" t="s">
        <v>13</v>
      </c>
      <c r="C61" s="19" t="s">
        <v>15</v>
      </c>
      <c r="D61" s="19" t="s">
        <v>17</v>
      </c>
      <c r="E61" s="16" t="s">
        <v>376</v>
      </c>
      <c r="F61" s="18" t="s">
        <v>377</v>
      </c>
      <c r="G61" s="16" t="s">
        <v>362</v>
      </c>
      <c r="H61" s="20" t="s">
        <v>371</v>
      </c>
      <c r="I61" s="16">
        <f t="shared" si="3"/>
        <v>25</v>
      </c>
      <c r="J61" s="16">
        <v>25</v>
      </c>
      <c r="K61" s="16"/>
      <c r="L61" s="16" t="s">
        <v>139</v>
      </c>
      <c r="M61" s="16">
        <v>356</v>
      </c>
      <c r="N61" s="16">
        <v>962</v>
      </c>
      <c r="O61" s="16">
        <v>12</v>
      </c>
      <c r="P61" s="20">
        <v>18</v>
      </c>
      <c r="Q61" s="18" t="s">
        <v>378</v>
      </c>
      <c r="R61" s="17" t="s">
        <v>365</v>
      </c>
      <c r="S61" s="17" t="s">
        <v>142</v>
      </c>
      <c r="T61" s="17" t="s">
        <v>176</v>
      </c>
    </row>
    <row r="62" s="1" customFormat="1" ht="104.4" spans="1:20">
      <c r="A62" s="17">
        <f t="shared" si="7"/>
        <v>57</v>
      </c>
      <c r="B62" s="17" t="s">
        <v>13</v>
      </c>
      <c r="C62" s="19" t="s">
        <v>15</v>
      </c>
      <c r="D62" s="19" t="s">
        <v>17</v>
      </c>
      <c r="E62" s="16" t="s">
        <v>379</v>
      </c>
      <c r="F62" s="18" t="s">
        <v>380</v>
      </c>
      <c r="G62" s="16" t="s">
        <v>362</v>
      </c>
      <c r="H62" s="20" t="s">
        <v>381</v>
      </c>
      <c r="I62" s="16">
        <f t="shared" si="3"/>
        <v>175</v>
      </c>
      <c r="J62" s="16">
        <v>175</v>
      </c>
      <c r="K62" s="16"/>
      <c r="L62" s="16" t="s">
        <v>139</v>
      </c>
      <c r="M62" s="16">
        <v>639</v>
      </c>
      <c r="N62" s="16">
        <v>1804</v>
      </c>
      <c r="O62" s="16">
        <v>159</v>
      </c>
      <c r="P62" s="20">
        <v>300</v>
      </c>
      <c r="Q62" s="18" t="s">
        <v>382</v>
      </c>
      <c r="R62" s="17" t="s">
        <v>365</v>
      </c>
      <c r="S62" s="17" t="s">
        <v>142</v>
      </c>
      <c r="T62" s="17"/>
    </row>
    <row r="63" s="1" customFormat="1" ht="85" customHeight="1" spans="1:20">
      <c r="A63" s="17">
        <f t="shared" si="7"/>
        <v>58</v>
      </c>
      <c r="B63" s="17" t="s">
        <v>13</v>
      </c>
      <c r="C63" s="19" t="s">
        <v>15</v>
      </c>
      <c r="D63" s="19" t="s">
        <v>17</v>
      </c>
      <c r="E63" s="16" t="s">
        <v>383</v>
      </c>
      <c r="F63" s="18" t="s">
        <v>384</v>
      </c>
      <c r="G63" s="16" t="s">
        <v>362</v>
      </c>
      <c r="H63" s="20" t="s">
        <v>363</v>
      </c>
      <c r="I63" s="16">
        <f t="shared" si="3"/>
        <v>25</v>
      </c>
      <c r="J63" s="16">
        <v>25</v>
      </c>
      <c r="K63" s="16"/>
      <c r="L63" s="16" t="s">
        <v>139</v>
      </c>
      <c r="M63" s="16">
        <v>369</v>
      </c>
      <c r="N63" s="16">
        <v>1023</v>
      </c>
      <c r="O63" s="16">
        <v>16</v>
      </c>
      <c r="P63" s="20">
        <v>29</v>
      </c>
      <c r="Q63" s="18" t="s">
        <v>385</v>
      </c>
      <c r="R63" s="17" t="s">
        <v>365</v>
      </c>
      <c r="S63" s="17" t="s">
        <v>142</v>
      </c>
      <c r="T63" s="17"/>
    </row>
    <row r="64" s="1" customFormat="1" ht="77" customHeight="1" spans="1:20">
      <c r="A64" s="17">
        <f t="shared" si="7"/>
        <v>59</v>
      </c>
      <c r="B64" s="17" t="s">
        <v>13</v>
      </c>
      <c r="C64" s="19" t="s">
        <v>15</v>
      </c>
      <c r="D64" s="19" t="s">
        <v>17</v>
      </c>
      <c r="E64" s="16" t="s">
        <v>386</v>
      </c>
      <c r="F64" s="18" t="s">
        <v>387</v>
      </c>
      <c r="G64" s="16" t="s">
        <v>362</v>
      </c>
      <c r="H64" s="20" t="s">
        <v>363</v>
      </c>
      <c r="I64" s="16">
        <f t="shared" si="3"/>
        <v>150</v>
      </c>
      <c r="J64" s="16">
        <v>150</v>
      </c>
      <c r="K64" s="16"/>
      <c r="L64" s="16" t="s">
        <v>139</v>
      </c>
      <c r="M64" s="16">
        <v>369</v>
      </c>
      <c r="N64" s="16">
        <v>1023</v>
      </c>
      <c r="O64" s="16">
        <v>16</v>
      </c>
      <c r="P64" s="20">
        <v>29</v>
      </c>
      <c r="Q64" s="18" t="s">
        <v>388</v>
      </c>
      <c r="R64" s="17" t="s">
        <v>365</v>
      </c>
      <c r="S64" s="17" t="s">
        <v>142</v>
      </c>
      <c r="T64" s="17"/>
    </row>
    <row r="65" s="1" customFormat="1" ht="139.2" spans="1:20">
      <c r="A65" s="17">
        <f t="shared" si="7"/>
        <v>60</v>
      </c>
      <c r="B65" s="17" t="s">
        <v>13</v>
      </c>
      <c r="C65" s="19" t="s">
        <v>15</v>
      </c>
      <c r="D65" s="19" t="s">
        <v>17</v>
      </c>
      <c r="E65" s="16" t="s">
        <v>389</v>
      </c>
      <c r="F65" s="18" t="s">
        <v>390</v>
      </c>
      <c r="G65" s="16" t="s">
        <v>362</v>
      </c>
      <c r="H65" s="20" t="s">
        <v>371</v>
      </c>
      <c r="I65" s="16">
        <f t="shared" si="3"/>
        <v>3.5</v>
      </c>
      <c r="J65" s="16"/>
      <c r="K65" s="16">
        <v>3.5</v>
      </c>
      <c r="L65" s="16" t="s">
        <v>139</v>
      </c>
      <c r="M65" s="16">
        <v>356</v>
      </c>
      <c r="N65" s="16">
        <v>962</v>
      </c>
      <c r="O65" s="16">
        <v>12</v>
      </c>
      <c r="P65" s="20">
        <v>18</v>
      </c>
      <c r="Q65" s="18" t="s">
        <v>391</v>
      </c>
      <c r="R65" s="17" t="s">
        <v>365</v>
      </c>
      <c r="S65" s="17" t="s">
        <v>142</v>
      </c>
      <c r="T65" s="17" t="s">
        <v>356</v>
      </c>
    </row>
    <row r="66" s="1" customFormat="1" ht="69.6" spans="1:20">
      <c r="A66" s="17">
        <f t="shared" si="7"/>
        <v>61</v>
      </c>
      <c r="B66" s="17" t="s">
        <v>13</v>
      </c>
      <c r="C66" s="19" t="s">
        <v>15</v>
      </c>
      <c r="D66" s="19" t="s">
        <v>17</v>
      </c>
      <c r="E66" s="16" t="s">
        <v>392</v>
      </c>
      <c r="F66" s="18" t="s">
        <v>393</v>
      </c>
      <c r="G66" s="16" t="s">
        <v>362</v>
      </c>
      <c r="H66" s="20" t="s">
        <v>371</v>
      </c>
      <c r="I66" s="16">
        <f t="shared" si="3"/>
        <v>50</v>
      </c>
      <c r="J66" s="16">
        <v>50</v>
      </c>
      <c r="K66" s="16"/>
      <c r="L66" s="16" t="s">
        <v>139</v>
      </c>
      <c r="M66" s="16">
        <v>354</v>
      </c>
      <c r="N66" s="16">
        <v>962</v>
      </c>
      <c r="O66" s="16">
        <v>12</v>
      </c>
      <c r="P66" s="20">
        <v>18</v>
      </c>
      <c r="Q66" s="18" t="s">
        <v>394</v>
      </c>
      <c r="R66" s="17" t="s">
        <v>365</v>
      </c>
      <c r="S66" s="17" t="s">
        <v>142</v>
      </c>
      <c r="T66" s="17" t="s">
        <v>176</v>
      </c>
    </row>
    <row r="67" s="1" customFormat="1" ht="87" spans="1:20">
      <c r="A67" s="17">
        <f t="shared" ref="A67:A76" si="8">ROW()-5</f>
        <v>62</v>
      </c>
      <c r="B67" s="17" t="s">
        <v>13</v>
      </c>
      <c r="C67" s="19" t="s">
        <v>15</v>
      </c>
      <c r="D67" s="19" t="s">
        <v>17</v>
      </c>
      <c r="E67" s="16" t="s">
        <v>395</v>
      </c>
      <c r="F67" s="18" t="s">
        <v>396</v>
      </c>
      <c r="G67" s="16" t="s">
        <v>397</v>
      </c>
      <c r="H67" s="20" t="s">
        <v>398</v>
      </c>
      <c r="I67" s="16">
        <f t="shared" si="3"/>
        <v>34.8</v>
      </c>
      <c r="J67" s="16">
        <v>34.8</v>
      </c>
      <c r="K67" s="16"/>
      <c r="L67" s="16" t="s">
        <v>399</v>
      </c>
      <c r="M67" s="16">
        <v>375</v>
      </c>
      <c r="N67" s="16">
        <v>1130</v>
      </c>
      <c r="O67" s="16">
        <v>375</v>
      </c>
      <c r="P67" s="20">
        <v>1130</v>
      </c>
      <c r="Q67" s="18" t="s">
        <v>400</v>
      </c>
      <c r="R67" s="17" t="s">
        <v>397</v>
      </c>
      <c r="S67" s="17" t="s">
        <v>401</v>
      </c>
      <c r="T67" s="17"/>
    </row>
    <row r="68" s="1" customFormat="1" ht="121.8" spans="1:20">
      <c r="A68" s="17">
        <f t="shared" si="8"/>
        <v>63</v>
      </c>
      <c r="B68" s="17" t="s">
        <v>13</v>
      </c>
      <c r="C68" s="19" t="s">
        <v>15</v>
      </c>
      <c r="D68" s="19" t="s">
        <v>17</v>
      </c>
      <c r="E68" s="16" t="s">
        <v>402</v>
      </c>
      <c r="F68" s="18" t="s">
        <v>403</v>
      </c>
      <c r="G68" s="16" t="s">
        <v>404</v>
      </c>
      <c r="H68" s="20" t="s">
        <v>405</v>
      </c>
      <c r="I68" s="16">
        <f t="shared" si="3"/>
        <v>384.26</v>
      </c>
      <c r="J68" s="16">
        <v>384.26</v>
      </c>
      <c r="K68" s="16"/>
      <c r="L68" s="17" t="s">
        <v>139</v>
      </c>
      <c r="M68" s="16">
        <v>547</v>
      </c>
      <c r="N68" s="16">
        <v>1295</v>
      </c>
      <c r="O68" s="16">
        <v>547</v>
      </c>
      <c r="P68" s="20">
        <v>1295</v>
      </c>
      <c r="Q68" s="18" t="s">
        <v>406</v>
      </c>
      <c r="R68" s="16" t="s">
        <v>404</v>
      </c>
      <c r="S68" s="16" t="s">
        <v>142</v>
      </c>
      <c r="T68" s="17"/>
    </row>
    <row r="69" s="1" customFormat="1" ht="87" spans="1:20">
      <c r="A69" s="17">
        <f t="shared" si="8"/>
        <v>64</v>
      </c>
      <c r="B69" s="17" t="s">
        <v>13</v>
      </c>
      <c r="C69" s="19" t="s">
        <v>15</v>
      </c>
      <c r="D69" s="19" t="s">
        <v>17</v>
      </c>
      <c r="E69" s="16" t="s">
        <v>407</v>
      </c>
      <c r="F69" s="18" t="s">
        <v>408</v>
      </c>
      <c r="G69" s="16" t="s">
        <v>404</v>
      </c>
      <c r="H69" s="20" t="s">
        <v>405</v>
      </c>
      <c r="I69" s="16">
        <f t="shared" si="3"/>
        <v>9.67</v>
      </c>
      <c r="J69" s="16">
        <v>9.67</v>
      </c>
      <c r="K69" s="16"/>
      <c r="L69" s="16" t="s">
        <v>139</v>
      </c>
      <c r="M69" s="16">
        <v>22</v>
      </c>
      <c r="N69" s="16">
        <v>55</v>
      </c>
      <c r="O69" s="16">
        <v>22</v>
      </c>
      <c r="P69" s="20">
        <v>55</v>
      </c>
      <c r="Q69" s="18" t="s">
        <v>409</v>
      </c>
      <c r="R69" s="17" t="s">
        <v>404</v>
      </c>
      <c r="S69" s="17" t="s">
        <v>142</v>
      </c>
      <c r="T69" s="17"/>
    </row>
    <row r="70" s="1" customFormat="1" ht="111" customHeight="1" spans="1:20">
      <c r="A70" s="17">
        <f t="shared" si="8"/>
        <v>65</v>
      </c>
      <c r="B70" s="17" t="s">
        <v>13</v>
      </c>
      <c r="C70" s="19" t="s">
        <v>15</v>
      </c>
      <c r="D70" s="19" t="s">
        <v>17</v>
      </c>
      <c r="E70" s="16" t="s">
        <v>410</v>
      </c>
      <c r="F70" s="18" t="s">
        <v>411</v>
      </c>
      <c r="G70" s="16" t="s">
        <v>412</v>
      </c>
      <c r="H70" s="20" t="s">
        <v>413</v>
      </c>
      <c r="I70" s="16">
        <f t="shared" si="3"/>
        <v>4.5</v>
      </c>
      <c r="J70" s="16"/>
      <c r="K70" s="16">
        <v>4.5</v>
      </c>
      <c r="L70" s="16" t="s">
        <v>139</v>
      </c>
      <c r="M70" s="16">
        <v>326</v>
      </c>
      <c r="N70" s="16">
        <v>1035</v>
      </c>
      <c r="O70" s="16">
        <v>8</v>
      </c>
      <c r="P70" s="20">
        <v>12</v>
      </c>
      <c r="Q70" s="18" t="s">
        <v>414</v>
      </c>
      <c r="R70" s="17" t="s">
        <v>415</v>
      </c>
      <c r="S70" s="17" t="s">
        <v>142</v>
      </c>
      <c r="T70" s="17" t="s">
        <v>229</v>
      </c>
    </row>
    <row r="71" s="1" customFormat="1" ht="121" customHeight="1" spans="1:20">
      <c r="A71" s="17">
        <f t="shared" si="8"/>
        <v>66</v>
      </c>
      <c r="B71" s="16" t="s">
        <v>13</v>
      </c>
      <c r="C71" s="16" t="s">
        <v>15</v>
      </c>
      <c r="D71" s="16" t="s">
        <v>17</v>
      </c>
      <c r="E71" s="16" t="s">
        <v>416</v>
      </c>
      <c r="F71" s="18" t="s">
        <v>417</v>
      </c>
      <c r="G71" s="16" t="s">
        <v>412</v>
      </c>
      <c r="H71" s="16" t="s">
        <v>418</v>
      </c>
      <c r="I71" s="16">
        <v>3</v>
      </c>
      <c r="J71" s="16"/>
      <c r="K71" s="16">
        <v>3</v>
      </c>
      <c r="L71" s="16" t="s">
        <v>139</v>
      </c>
      <c r="M71" s="16">
        <v>519</v>
      </c>
      <c r="N71" s="16">
        <v>1549</v>
      </c>
      <c r="O71" s="16">
        <v>10</v>
      </c>
      <c r="P71" s="16">
        <v>20</v>
      </c>
      <c r="Q71" s="18" t="s">
        <v>419</v>
      </c>
      <c r="R71" s="16" t="s">
        <v>415</v>
      </c>
      <c r="S71" s="16" t="s">
        <v>142</v>
      </c>
      <c r="T71" s="17" t="s">
        <v>229</v>
      </c>
    </row>
    <row r="72" s="1" customFormat="1" ht="87" spans="1:20">
      <c r="A72" s="17">
        <f t="shared" si="8"/>
        <v>67</v>
      </c>
      <c r="B72" s="17" t="s">
        <v>13</v>
      </c>
      <c r="C72" s="19" t="s">
        <v>15</v>
      </c>
      <c r="D72" s="19" t="s">
        <v>17</v>
      </c>
      <c r="E72" s="16" t="s">
        <v>420</v>
      </c>
      <c r="F72" s="18" t="s">
        <v>421</v>
      </c>
      <c r="G72" s="16" t="s">
        <v>412</v>
      </c>
      <c r="H72" s="20" t="s">
        <v>422</v>
      </c>
      <c r="I72" s="16">
        <f t="shared" ref="I72:I88" si="9">J72+K72</f>
        <v>50</v>
      </c>
      <c r="J72" s="16">
        <v>50</v>
      </c>
      <c r="K72" s="16"/>
      <c r="L72" s="16" t="s">
        <v>139</v>
      </c>
      <c r="M72" s="16">
        <v>179</v>
      </c>
      <c r="N72" s="16">
        <v>520</v>
      </c>
      <c r="O72" s="16">
        <v>1</v>
      </c>
      <c r="P72" s="20">
        <v>1</v>
      </c>
      <c r="Q72" s="18" t="s">
        <v>423</v>
      </c>
      <c r="R72" s="17" t="s">
        <v>415</v>
      </c>
      <c r="S72" s="17" t="s">
        <v>142</v>
      </c>
      <c r="T72" s="17"/>
    </row>
    <row r="73" s="1" customFormat="1" ht="83" customHeight="1" spans="1:20">
      <c r="A73" s="17">
        <f t="shared" si="8"/>
        <v>68</v>
      </c>
      <c r="B73" s="17" t="s">
        <v>13</v>
      </c>
      <c r="C73" s="19" t="s">
        <v>15</v>
      </c>
      <c r="D73" s="19" t="s">
        <v>17</v>
      </c>
      <c r="E73" s="16" t="s">
        <v>424</v>
      </c>
      <c r="F73" s="18" t="s">
        <v>425</v>
      </c>
      <c r="G73" s="16" t="s">
        <v>412</v>
      </c>
      <c r="H73" s="20" t="s">
        <v>418</v>
      </c>
      <c r="I73" s="16">
        <f t="shared" si="9"/>
        <v>12</v>
      </c>
      <c r="J73" s="16">
        <v>5</v>
      </c>
      <c r="K73" s="16">
        <v>7</v>
      </c>
      <c r="L73" s="16" t="s">
        <v>139</v>
      </c>
      <c r="M73" s="16">
        <v>72</v>
      </c>
      <c r="N73" s="16">
        <v>223</v>
      </c>
      <c r="O73" s="16">
        <v>4</v>
      </c>
      <c r="P73" s="20">
        <v>8</v>
      </c>
      <c r="Q73" s="18" t="s">
        <v>426</v>
      </c>
      <c r="R73" s="17" t="s">
        <v>415</v>
      </c>
      <c r="S73" s="17" t="s">
        <v>142</v>
      </c>
      <c r="T73" s="17" t="s">
        <v>176</v>
      </c>
    </row>
    <row r="74" s="1" customFormat="1" ht="87" spans="1:20">
      <c r="A74" s="17">
        <f t="shared" si="8"/>
        <v>69</v>
      </c>
      <c r="B74" s="17" t="s">
        <v>13</v>
      </c>
      <c r="C74" s="19" t="s">
        <v>15</v>
      </c>
      <c r="D74" s="19" t="s">
        <v>17</v>
      </c>
      <c r="E74" s="16" t="s">
        <v>427</v>
      </c>
      <c r="F74" s="18" t="s">
        <v>428</v>
      </c>
      <c r="G74" s="16" t="s">
        <v>429</v>
      </c>
      <c r="H74" s="20" t="s">
        <v>430</v>
      </c>
      <c r="I74" s="16">
        <f t="shared" si="9"/>
        <v>60</v>
      </c>
      <c r="J74" s="16">
        <v>60</v>
      </c>
      <c r="K74" s="16"/>
      <c r="L74" s="16" t="s">
        <v>139</v>
      </c>
      <c r="M74" s="16">
        <v>28</v>
      </c>
      <c r="N74" s="16">
        <v>75</v>
      </c>
      <c r="O74" s="16">
        <v>4</v>
      </c>
      <c r="P74" s="20">
        <v>7</v>
      </c>
      <c r="Q74" s="18" t="s">
        <v>431</v>
      </c>
      <c r="R74" s="17" t="s">
        <v>432</v>
      </c>
      <c r="S74" s="17" t="s">
        <v>142</v>
      </c>
      <c r="T74" s="17" t="s">
        <v>433</v>
      </c>
    </row>
    <row r="75" s="1" customFormat="1" ht="95" customHeight="1" spans="1:20">
      <c r="A75" s="17">
        <f t="shared" si="8"/>
        <v>70</v>
      </c>
      <c r="B75" s="17" t="s">
        <v>13</v>
      </c>
      <c r="C75" s="19" t="s">
        <v>15</v>
      </c>
      <c r="D75" s="19" t="s">
        <v>17</v>
      </c>
      <c r="E75" s="16" t="s">
        <v>434</v>
      </c>
      <c r="F75" s="18" t="s">
        <v>435</v>
      </c>
      <c r="G75" s="16" t="s">
        <v>429</v>
      </c>
      <c r="H75" s="20" t="s">
        <v>436</v>
      </c>
      <c r="I75" s="16">
        <f t="shared" si="9"/>
        <v>120</v>
      </c>
      <c r="J75" s="16">
        <v>120</v>
      </c>
      <c r="K75" s="16"/>
      <c r="L75" s="16" t="s">
        <v>139</v>
      </c>
      <c r="M75" s="16">
        <v>81</v>
      </c>
      <c r="N75" s="16">
        <v>255</v>
      </c>
      <c r="O75" s="16">
        <v>4</v>
      </c>
      <c r="P75" s="20">
        <v>13</v>
      </c>
      <c r="Q75" s="18" t="s">
        <v>437</v>
      </c>
      <c r="R75" s="17" t="s">
        <v>432</v>
      </c>
      <c r="S75" s="17" t="s">
        <v>142</v>
      </c>
      <c r="T75" s="17"/>
    </row>
    <row r="76" s="1" customFormat="1" ht="106" customHeight="1" spans="1:20">
      <c r="A76" s="17">
        <f t="shared" si="8"/>
        <v>71</v>
      </c>
      <c r="B76" s="17" t="s">
        <v>13</v>
      </c>
      <c r="C76" s="19" t="s">
        <v>15</v>
      </c>
      <c r="D76" s="19" t="s">
        <v>17</v>
      </c>
      <c r="E76" s="16" t="s">
        <v>438</v>
      </c>
      <c r="F76" s="18" t="s">
        <v>439</v>
      </c>
      <c r="G76" s="16" t="s">
        <v>429</v>
      </c>
      <c r="H76" s="20" t="s">
        <v>440</v>
      </c>
      <c r="I76" s="16">
        <f t="shared" si="9"/>
        <v>195</v>
      </c>
      <c r="J76" s="16">
        <v>195</v>
      </c>
      <c r="K76" s="16"/>
      <c r="L76" s="16" t="s">
        <v>139</v>
      </c>
      <c r="M76" s="16">
        <v>111</v>
      </c>
      <c r="N76" s="16">
        <v>234</v>
      </c>
      <c r="O76" s="16">
        <v>4</v>
      </c>
      <c r="P76" s="20">
        <v>5</v>
      </c>
      <c r="Q76" s="18" t="s">
        <v>441</v>
      </c>
      <c r="R76" s="17" t="s">
        <v>432</v>
      </c>
      <c r="S76" s="17" t="s">
        <v>142</v>
      </c>
      <c r="T76" s="17"/>
    </row>
    <row r="77" s="1" customFormat="1" ht="175" customHeight="1" spans="1:20">
      <c r="A77" s="17">
        <f t="shared" ref="A77:A86" si="10">ROW()-5</f>
        <v>72</v>
      </c>
      <c r="B77" s="17" t="s">
        <v>13</v>
      </c>
      <c r="C77" s="19" t="s">
        <v>15</v>
      </c>
      <c r="D77" s="19" t="s">
        <v>17</v>
      </c>
      <c r="E77" s="16" t="s">
        <v>442</v>
      </c>
      <c r="F77" s="18" t="s">
        <v>443</v>
      </c>
      <c r="G77" s="16" t="s">
        <v>137</v>
      </c>
      <c r="H77" s="20" t="s">
        <v>146</v>
      </c>
      <c r="I77" s="16">
        <f t="shared" si="9"/>
        <v>98</v>
      </c>
      <c r="J77" s="16">
        <v>98</v>
      </c>
      <c r="K77" s="16"/>
      <c r="L77" s="16" t="s">
        <v>139</v>
      </c>
      <c r="M77" s="16">
        <v>355</v>
      </c>
      <c r="N77" s="16">
        <v>879</v>
      </c>
      <c r="O77" s="16">
        <v>13</v>
      </c>
      <c r="P77" s="20">
        <v>25</v>
      </c>
      <c r="Q77" s="18" t="s">
        <v>444</v>
      </c>
      <c r="R77" s="17" t="s">
        <v>141</v>
      </c>
      <c r="S77" s="17" t="s">
        <v>142</v>
      </c>
      <c r="T77" s="17"/>
    </row>
    <row r="78" s="1" customFormat="1" ht="135" customHeight="1" spans="1:20">
      <c r="A78" s="17">
        <f t="shared" si="10"/>
        <v>73</v>
      </c>
      <c r="B78" s="17" t="s">
        <v>13</v>
      </c>
      <c r="C78" s="19" t="s">
        <v>15</v>
      </c>
      <c r="D78" s="19" t="s">
        <v>17</v>
      </c>
      <c r="E78" s="16" t="s">
        <v>445</v>
      </c>
      <c r="F78" s="18" t="s">
        <v>446</v>
      </c>
      <c r="G78" s="16" t="s">
        <v>137</v>
      </c>
      <c r="H78" s="20" t="s">
        <v>150</v>
      </c>
      <c r="I78" s="16">
        <f t="shared" si="9"/>
        <v>60</v>
      </c>
      <c r="J78" s="16">
        <v>60</v>
      </c>
      <c r="K78" s="16"/>
      <c r="L78" s="16" t="s">
        <v>139</v>
      </c>
      <c r="M78" s="16">
        <v>577</v>
      </c>
      <c r="N78" s="16">
        <v>1532</v>
      </c>
      <c r="O78" s="16">
        <v>51</v>
      </c>
      <c r="P78" s="20">
        <v>109</v>
      </c>
      <c r="Q78" s="18" t="s">
        <v>447</v>
      </c>
      <c r="R78" s="17" t="s">
        <v>141</v>
      </c>
      <c r="S78" s="17" t="s">
        <v>142</v>
      </c>
      <c r="T78" s="17"/>
    </row>
    <row r="79" s="1" customFormat="1" ht="162" customHeight="1" spans="1:20">
      <c r="A79" s="17">
        <f t="shared" si="10"/>
        <v>74</v>
      </c>
      <c r="B79" s="17" t="s">
        <v>13</v>
      </c>
      <c r="C79" s="19" t="s">
        <v>15</v>
      </c>
      <c r="D79" s="19" t="s">
        <v>17</v>
      </c>
      <c r="E79" s="16" t="s">
        <v>448</v>
      </c>
      <c r="F79" s="18" t="s">
        <v>449</v>
      </c>
      <c r="G79" s="16" t="s">
        <v>137</v>
      </c>
      <c r="H79" s="20" t="s">
        <v>154</v>
      </c>
      <c r="I79" s="16">
        <f t="shared" si="9"/>
        <v>20</v>
      </c>
      <c r="J79" s="16"/>
      <c r="K79" s="16">
        <v>20</v>
      </c>
      <c r="L79" s="16" t="s">
        <v>139</v>
      </c>
      <c r="M79" s="16">
        <v>366</v>
      </c>
      <c r="N79" s="16">
        <v>923</v>
      </c>
      <c r="O79" s="16">
        <v>16</v>
      </c>
      <c r="P79" s="20">
        <v>41</v>
      </c>
      <c r="Q79" s="18" t="s">
        <v>450</v>
      </c>
      <c r="R79" s="17" t="s">
        <v>141</v>
      </c>
      <c r="S79" s="17" t="s">
        <v>142</v>
      </c>
      <c r="T79" s="17" t="s">
        <v>229</v>
      </c>
    </row>
    <row r="80" s="1" customFormat="1" ht="96" customHeight="1" spans="1:20">
      <c r="A80" s="17">
        <f t="shared" si="10"/>
        <v>75</v>
      </c>
      <c r="B80" s="17" t="s">
        <v>13</v>
      </c>
      <c r="C80" s="19" t="s">
        <v>15</v>
      </c>
      <c r="D80" s="19" t="s">
        <v>17</v>
      </c>
      <c r="E80" s="16" t="s">
        <v>451</v>
      </c>
      <c r="F80" s="18" t="s">
        <v>452</v>
      </c>
      <c r="G80" s="16" t="s">
        <v>168</v>
      </c>
      <c r="H80" s="20" t="s">
        <v>453</v>
      </c>
      <c r="I80" s="16">
        <f t="shared" si="9"/>
        <v>35</v>
      </c>
      <c r="J80" s="16">
        <v>35</v>
      </c>
      <c r="K80" s="16"/>
      <c r="L80" s="16" t="s">
        <v>139</v>
      </c>
      <c r="M80" s="16">
        <v>444</v>
      </c>
      <c r="N80" s="16">
        <v>1088</v>
      </c>
      <c r="O80" s="16">
        <v>11</v>
      </c>
      <c r="P80" s="20">
        <v>21</v>
      </c>
      <c r="Q80" s="18" t="s">
        <v>454</v>
      </c>
      <c r="R80" s="17" t="s">
        <v>455</v>
      </c>
      <c r="S80" s="17" t="s">
        <v>142</v>
      </c>
      <c r="T80" s="17"/>
    </row>
    <row r="81" s="1" customFormat="1" ht="88" customHeight="1" spans="1:20">
      <c r="A81" s="17">
        <f t="shared" si="10"/>
        <v>76</v>
      </c>
      <c r="B81" s="17" t="s">
        <v>13</v>
      </c>
      <c r="C81" s="19" t="s">
        <v>15</v>
      </c>
      <c r="D81" s="19" t="s">
        <v>17</v>
      </c>
      <c r="E81" s="16" t="s">
        <v>456</v>
      </c>
      <c r="F81" s="18" t="s">
        <v>457</v>
      </c>
      <c r="G81" s="16" t="s">
        <v>173</v>
      </c>
      <c r="H81" s="20" t="s">
        <v>458</v>
      </c>
      <c r="I81" s="16">
        <f t="shared" si="9"/>
        <v>30</v>
      </c>
      <c r="J81" s="16">
        <v>30</v>
      </c>
      <c r="K81" s="16"/>
      <c r="L81" s="16" t="s">
        <v>139</v>
      </c>
      <c r="M81" s="16">
        <v>235</v>
      </c>
      <c r="N81" s="16">
        <v>633</v>
      </c>
      <c r="O81" s="16">
        <v>24</v>
      </c>
      <c r="P81" s="20">
        <v>50</v>
      </c>
      <c r="Q81" s="18" t="s">
        <v>459</v>
      </c>
      <c r="R81" s="17" t="s">
        <v>173</v>
      </c>
      <c r="S81" s="17" t="s">
        <v>142</v>
      </c>
      <c r="T81" s="17"/>
    </row>
    <row r="82" s="1" customFormat="1" ht="84" customHeight="1" spans="1:20">
      <c r="A82" s="17">
        <f t="shared" si="10"/>
        <v>77</v>
      </c>
      <c r="B82" s="17" t="s">
        <v>13</v>
      </c>
      <c r="C82" s="19" t="s">
        <v>15</v>
      </c>
      <c r="D82" s="19" t="s">
        <v>17</v>
      </c>
      <c r="E82" s="16" t="s">
        <v>460</v>
      </c>
      <c r="F82" s="18" t="s">
        <v>461</v>
      </c>
      <c r="G82" s="16" t="s">
        <v>173</v>
      </c>
      <c r="H82" s="20" t="s">
        <v>458</v>
      </c>
      <c r="I82" s="16">
        <f t="shared" si="9"/>
        <v>5</v>
      </c>
      <c r="J82" s="16">
        <v>5</v>
      </c>
      <c r="K82" s="16"/>
      <c r="L82" s="16" t="s">
        <v>139</v>
      </c>
      <c r="M82" s="16">
        <v>270</v>
      </c>
      <c r="N82" s="16">
        <v>756</v>
      </c>
      <c r="O82" s="16">
        <v>24</v>
      </c>
      <c r="P82" s="20">
        <v>50</v>
      </c>
      <c r="Q82" s="18" t="s">
        <v>462</v>
      </c>
      <c r="R82" s="17" t="s">
        <v>173</v>
      </c>
      <c r="S82" s="17" t="s">
        <v>142</v>
      </c>
      <c r="T82" s="17"/>
    </row>
    <row r="83" s="1" customFormat="1" ht="117" customHeight="1" spans="1:20">
      <c r="A83" s="17">
        <f t="shared" si="10"/>
        <v>78</v>
      </c>
      <c r="B83" s="17" t="s">
        <v>13</v>
      </c>
      <c r="C83" s="19" t="s">
        <v>15</v>
      </c>
      <c r="D83" s="19" t="s">
        <v>17</v>
      </c>
      <c r="E83" s="16" t="s">
        <v>463</v>
      </c>
      <c r="F83" s="18" t="s">
        <v>464</v>
      </c>
      <c r="G83" s="16" t="s">
        <v>183</v>
      </c>
      <c r="H83" s="20" t="s">
        <v>189</v>
      </c>
      <c r="I83" s="16">
        <f t="shared" si="9"/>
        <v>35</v>
      </c>
      <c r="J83" s="16">
        <v>35</v>
      </c>
      <c r="K83" s="16"/>
      <c r="L83" s="16" t="s">
        <v>139</v>
      </c>
      <c r="M83" s="16">
        <v>287</v>
      </c>
      <c r="N83" s="16">
        <v>936</v>
      </c>
      <c r="O83" s="16">
        <v>16</v>
      </c>
      <c r="P83" s="20">
        <v>46</v>
      </c>
      <c r="Q83" s="18" t="s">
        <v>465</v>
      </c>
      <c r="R83" s="17" t="s">
        <v>183</v>
      </c>
      <c r="S83" s="17" t="s">
        <v>142</v>
      </c>
      <c r="T83" s="17" t="s">
        <v>186</v>
      </c>
    </row>
    <row r="84" s="1" customFormat="1" ht="62" customHeight="1" spans="1:20">
      <c r="A84" s="17">
        <f t="shared" si="10"/>
        <v>79</v>
      </c>
      <c r="B84" s="17" t="s">
        <v>13</v>
      </c>
      <c r="C84" s="19" t="s">
        <v>15</v>
      </c>
      <c r="D84" s="19" t="s">
        <v>17</v>
      </c>
      <c r="E84" s="16" t="s">
        <v>466</v>
      </c>
      <c r="F84" s="18" t="s">
        <v>467</v>
      </c>
      <c r="G84" s="16" t="s">
        <v>213</v>
      </c>
      <c r="H84" s="20" t="s">
        <v>468</v>
      </c>
      <c r="I84" s="16">
        <f t="shared" si="9"/>
        <v>9.5</v>
      </c>
      <c r="J84" s="16">
        <v>9.5</v>
      </c>
      <c r="K84" s="16"/>
      <c r="L84" s="16" t="s">
        <v>139</v>
      </c>
      <c r="M84" s="16">
        <v>517</v>
      </c>
      <c r="N84" s="16">
        <v>1353</v>
      </c>
      <c r="O84" s="16">
        <v>56</v>
      </c>
      <c r="P84" s="20">
        <v>116</v>
      </c>
      <c r="Q84" s="18" t="s">
        <v>469</v>
      </c>
      <c r="R84" s="17" t="s">
        <v>216</v>
      </c>
      <c r="S84" s="17" t="s">
        <v>142</v>
      </c>
      <c r="T84" s="17" t="s">
        <v>176</v>
      </c>
    </row>
    <row r="85" s="1" customFormat="1" ht="70" customHeight="1" spans="1:20">
      <c r="A85" s="17">
        <f t="shared" si="10"/>
        <v>80</v>
      </c>
      <c r="B85" s="17" t="s">
        <v>13</v>
      </c>
      <c r="C85" s="19" t="s">
        <v>15</v>
      </c>
      <c r="D85" s="19" t="s">
        <v>17</v>
      </c>
      <c r="E85" s="16" t="s">
        <v>470</v>
      </c>
      <c r="F85" s="18" t="s">
        <v>471</v>
      </c>
      <c r="G85" s="16" t="s">
        <v>213</v>
      </c>
      <c r="H85" s="20" t="s">
        <v>472</v>
      </c>
      <c r="I85" s="16">
        <f t="shared" si="9"/>
        <v>4.5</v>
      </c>
      <c r="J85" s="16">
        <v>4.5</v>
      </c>
      <c r="K85" s="16"/>
      <c r="L85" s="16" t="s">
        <v>139</v>
      </c>
      <c r="M85" s="16">
        <v>527</v>
      </c>
      <c r="N85" s="16">
        <v>1493</v>
      </c>
      <c r="O85" s="16">
        <v>42</v>
      </c>
      <c r="P85" s="20">
        <v>90</v>
      </c>
      <c r="Q85" s="18" t="s">
        <v>473</v>
      </c>
      <c r="R85" s="17" t="s">
        <v>216</v>
      </c>
      <c r="S85" s="17" t="s">
        <v>142</v>
      </c>
      <c r="T85" s="17"/>
    </row>
    <row r="86" s="1" customFormat="1" ht="156.6" spans="1:20">
      <c r="A86" s="17">
        <f t="shared" si="10"/>
        <v>81</v>
      </c>
      <c r="B86" s="17" t="s">
        <v>13</v>
      </c>
      <c r="C86" s="19" t="s">
        <v>15</v>
      </c>
      <c r="D86" s="19" t="s">
        <v>17</v>
      </c>
      <c r="E86" s="16" t="s">
        <v>474</v>
      </c>
      <c r="F86" s="18" t="s">
        <v>475</v>
      </c>
      <c r="G86" s="16" t="s">
        <v>232</v>
      </c>
      <c r="H86" s="20" t="s">
        <v>476</v>
      </c>
      <c r="I86" s="16">
        <f t="shared" si="9"/>
        <v>85.3</v>
      </c>
      <c r="J86" s="16">
        <v>85.3</v>
      </c>
      <c r="K86" s="16"/>
      <c r="L86" s="16" t="s">
        <v>139</v>
      </c>
      <c r="M86" s="16">
        <v>558</v>
      </c>
      <c r="N86" s="16">
        <v>1464</v>
      </c>
      <c r="O86" s="16">
        <v>22</v>
      </c>
      <c r="P86" s="20">
        <v>46</v>
      </c>
      <c r="Q86" s="18" t="s">
        <v>477</v>
      </c>
      <c r="R86" s="17" t="s">
        <v>240</v>
      </c>
      <c r="S86" s="17" t="s">
        <v>142</v>
      </c>
      <c r="T86" s="17"/>
    </row>
    <row r="87" s="1" customFormat="1" ht="143" customHeight="1" spans="1:20">
      <c r="A87" s="17">
        <f t="shared" ref="A87:A96" si="11">ROW()-5</f>
        <v>82</v>
      </c>
      <c r="B87" s="17" t="s">
        <v>13</v>
      </c>
      <c r="C87" s="19" t="s">
        <v>15</v>
      </c>
      <c r="D87" s="19" t="s">
        <v>17</v>
      </c>
      <c r="E87" s="16" t="s">
        <v>478</v>
      </c>
      <c r="F87" s="18" t="s">
        <v>479</v>
      </c>
      <c r="G87" s="16" t="s">
        <v>257</v>
      </c>
      <c r="H87" s="20" t="s">
        <v>258</v>
      </c>
      <c r="I87" s="16">
        <f t="shared" si="9"/>
        <v>80</v>
      </c>
      <c r="J87" s="16">
        <v>80</v>
      </c>
      <c r="K87" s="16"/>
      <c r="L87" s="16" t="s">
        <v>139</v>
      </c>
      <c r="M87" s="16">
        <v>381</v>
      </c>
      <c r="N87" s="16">
        <v>993</v>
      </c>
      <c r="O87" s="16">
        <v>16</v>
      </c>
      <c r="P87" s="20">
        <v>35</v>
      </c>
      <c r="Q87" s="18" t="s">
        <v>480</v>
      </c>
      <c r="R87" s="17" t="s">
        <v>260</v>
      </c>
      <c r="S87" s="17" t="s">
        <v>142</v>
      </c>
      <c r="T87" s="17"/>
    </row>
    <row r="88" s="1" customFormat="1" ht="120" customHeight="1" spans="1:20">
      <c r="A88" s="17">
        <f t="shared" si="11"/>
        <v>83</v>
      </c>
      <c r="B88" s="17" t="s">
        <v>13</v>
      </c>
      <c r="C88" s="19" t="s">
        <v>15</v>
      </c>
      <c r="D88" s="19" t="s">
        <v>17</v>
      </c>
      <c r="E88" s="16" t="s">
        <v>481</v>
      </c>
      <c r="F88" s="18" t="s">
        <v>482</v>
      </c>
      <c r="G88" s="16" t="s">
        <v>285</v>
      </c>
      <c r="H88" s="20" t="s">
        <v>483</v>
      </c>
      <c r="I88" s="16">
        <f t="shared" si="9"/>
        <v>90</v>
      </c>
      <c r="J88" s="16">
        <v>90</v>
      </c>
      <c r="K88" s="16"/>
      <c r="L88" s="16" t="s">
        <v>139</v>
      </c>
      <c r="M88" s="16">
        <v>298</v>
      </c>
      <c r="N88" s="16">
        <v>847</v>
      </c>
      <c r="O88" s="16">
        <v>7</v>
      </c>
      <c r="P88" s="20">
        <v>22</v>
      </c>
      <c r="Q88" s="18" t="s">
        <v>484</v>
      </c>
      <c r="R88" s="17" t="s">
        <v>288</v>
      </c>
      <c r="S88" s="17" t="s">
        <v>142</v>
      </c>
      <c r="T88" s="17"/>
    </row>
    <row r="89" s="1" customFormat="1" ht="69.6" spans="1:20">
      <c r="A89" s="17">
        <f t="shared" si="11"/>
        <v>84</v>
      </c>
      <c r="B89" s="17" t="s">
        <v>13</v>
      </c>
      <c r="C89" s="19" t="s">
        <v>15</v>
      </c>
      <c r="D89" s="19" t="s">
        <v>17</v>
      </c>
      <c r="E89" s="16" t="s">
        <v>485</v>
      </c>
      <c r="F89" s="18" t="s">
        <v>486</v>
      </c>
      <c r="G89" s="16" t="s">
        <v>257</v>
      </c>
      <c r="H89" s="20" t="s">
        <v>487</v>
      </c>
      <c r="I89" s="16">
        <f t="shared" ref="I89:I139" si="12">J89+K89</f>
        <v>88</v>
      </c>
      <c r="J89" s="16">
        <v>88</v>
      </c>
      <c r="K89" s="16"/>
      <c r="L89" s="16" t="s">
        <v>139</v>
      </c>
      <c r="M89" s="16">
        <v>384</v>
      </c>
      <c r="N89" s="16">
        <v>25</v>
      </c>
      <c r="O89" s="16">
        <v>11</v>
      </c>
      <c r="P89" s="20">
        <v>25</v>
      </c>
      <c r="Q89" s="18" t="s">
        <v>488</v>
      </c>
      <c r="R89" s="17" t="s">
        <v>260</v>
      </c>
      <c r="S89" s="17" t="s">
        <v>142</v>
      </c>
      <c r="T89" s="17"/>
    </row>
    <row r="90" s="1" customFormat="1" ht="69.6" spans="1:20">
      <c r="A90" s="17">
        <f t="shared" si="11"/>
        <v>85</v>
      </c>
      <c r="B90" s="17" t="s">
        <v>13</v>
      </c>
      <c r="C90" s="19" t="s">
        <v>15</v>
      </c>
      <c r="D90" s="19" t="s">
        <v>17</v>
      </c>
      <c r="E90" s="16" t="s">
        <v>489</v>
      </c>
      <c r="F90" s="18" t="s">
        <v>490</v>
      </c>
      <c r="G90" s="16" t="s">
        <v>257</v>
      </c>
      <c r="H90" s="20" t="s">
        <v>491</v>
      </c>
      <c r="I90" s="16">
        <f t="shared" si="12"/>
        <v>80</v>
      </c>
      <c r="J90" s="16">
        <v>80</v>
      </c>
      <c r="K90" s="16"/>
      <c r="L90" s="16" t="s">
        <v>139</v>
      </c>
      <c r="M90" s="16">
        <v>62</v>
      </c>
      <c r="N90" s="16">
        <v>172</v>
      </c>
      <c r="O90" s="16">
        <v>25</v>
      </c>
      <c r="P90" s="20">
        <v>50</v>
      </c>
      <c r="Q90" s="18" t="s">
        <v>492</v>
      </c>
      <c r="R90" s="17" t="s">
        <v>260</v>
      </c>
      <c r="S90" s="17" t="s">
        <v>142</v>
      </c>
      <c r="T90" s="17"/>
    </row>
    <row r="91" s="1" customFormat="1" ht="69.6" spans="1:20">
      <c r="A91" s="17">
        <f t="shared" si="11"/>
        <v>86</v>
      </c>
      <c r="B91" s="17" t="s">
        <v>13</v>
      </c>
      <c r="C91" s="19" t="s">
        <v>15</v>
      </c>
      <c r="D91" s="19" t="s">
        <v>17</v>
      </c>
      <c r="E91" s="16" t="s">
        <v>493</v>
      </c>
      <c r="F91" s="18" t="s">
        <v>494</v>
      </c>
      <c r="G91" s="16" t="s">
        <v>257</v>
      </c>
      <c r="H91" s="20" t="s">
        <v>495</v>
      </c>
      <c r="I91" s="16">
        <f t="shared" si="12"/>
        <v>84</v>
      </c>
      <c r="J91" s="16">
        <v>84</v>
      </c>
      <c r="K91" s="16"/>
      <c r="L91" s="16" t="s">
        <v>139</v>
      </c>
      <c r="M91" s="16">
        <v>686</v>
      </c>
      <c r="N91" s="16">
        <v>2038</v>
      </c>
      <c r="O91" s="16">
        <v>25</v>
      </c>
      <c r="P91" s="20">
        <v>50</v>
      </c>
      <c r="Q91" s="18" t="s">
        <v>496</v>
      </c>
      <c r="R91" s="17" t="s">
        <v>260</v>
      </c>
      <c r="S91" s="17" t="s">
        <v>142</v>
      </c>
      <c r="T91" s="17"/>
    </row>
    <row r="92" s="1" customFormat="1" ht="68" customHeight="1" spans="1:20">
      <c r="A92" s="17">
        <f t="shared" si="11"/>
        <v>87</v>
      </c>
      <c r="B92" s="17" t="s">
        <v>13</v>
      </c>
      <c r="C92" s="19" t="s">
        <v>15</v>
      </c>
      <c r="D92" s="19" t="s">
        <v>17</v>
      </c>
      <c r="E92" s="16" t="s">
        <v>497</v>
      </c>
      <c r="F92" s="18" t="s">
        <v>498</v>
      </c>
      <c r="G92" s="16" t="s">
        <v>257</v>
      </c>
      <c r="H92" s="20" t="s">
        <v>499</v>
      </c>
      <c r="I92" s="16">
        <f t="shared" si="12"/>
        <v>80</v>
      </c>
      <c r="J92" s="16">
        <v>80</v>
      </c>
      <c r="K92" s="16"/>
      <c r="L92" s="16" t="s">
        <v>139</v>
      </c>
      <c r="M92" s="16">
        <v>521</v>
      </c>
      <c r="N92" s="16">
        <v>2165</v>
      </c>
      <c r="O92" s="16">
        <v>35</v>
      </c>
      <c r="P92" s="20">
        <v>78</v>
      </c>
      <c r="Q92" s="18" t="s">
        <v>500</v>
      </c>
      <c r="R92" s="17" t="s">
        <v>260</v>
      </c>
      <c r="S92" s="17" t="s">
        <v>142</v>
      </c>
      <c r="T92" s="17"/>
    </row>
    <row r="93" s="1" customFormat="1" ht="64" customHeight="1" spans="1:20">
      <c r="A93" s="17">
        <f t="shared" si="11"/>
        <v>88</v>
      </c>
      <c r="B93" s="17" t="s">
        <v>13</v>
      </c>
      <c r="C93" s="19" t="s">
        <v>15</v>
      </c>
      <c r="D93" s="19" t="s">
        <v>17</v>
      </c>
      <c r="E93" s="16" t="s">
        <v>501</v>
      </c>
      <c r="F93" s="18" t="s">
        <v>502</v>
      </c>
      <c r="G93" s="16" t="s">
        <v>362</v>
      </c>
      <c r="H93" s="20" t="s">
        <v>503</v>
      </c>
      <c r="I93" s="16">
        <f t="shared" si="12"/>
        <v>41</v>
      </c>
      <c r="J93" s="16">
        <v>41</v>
      </c>
      <c r="K93" s="16"/>
      <c r="L93" s="16" t="s">
        <v>139</v>
      </c>
      <c r="M93" s="16">
        <v>342</v>
      </c>
      <c r="N93" s="16">
        <v>845</v>
      </c>
      <c r="O93" s="16">
        <v>17</v>
      </c>
      <c r="P93" s="20">
        <v>26</v>
      </c>
      <c r="Q93" s="18" t="s">
        <v>504</v>
      </c>
      <c r="R93" s="17" t="s">
        <v>365</v>
      </c>
      <c r="S93" s="17" t="s">
        <v>142</v>
      </c>
      <c r="T93" s="17"/>
    </row>
    <row r="94" s="1" customFormat="1" ht="62" customHeight="1" spans="1:20">
      <c r="A94" s="17">
        <f t="shared" si="11"/>
        <v>89</v>
      </c>
      <c r="B94" s="17" t="s">
        <v>13</v>
      </c>
      <c r="C94" s="19" t="s">
        <v>15</v>
      </c>
      <c r="D94" s="19" t="s">
        <v>17</v>
      </c>
      <c r="E94" s="16" t="s">
        <v>505</v>
      </c>
      <c r="F94" s="18" t="s">
        <v>506</v>
      </c>
      <c r="G94" s="16" t="s">
        <v>362</v>
      </c>
      <c r="H94" s="20" t="s">
        <v>381</v>
      </c>
      <c r="I94" s="16">
        <f t="shared" si="12"/>
        <v>35</v>
      </c>
      <c r="J94" s="16">
        <v>35</v>
      </c>
      <c r="K94" s="16"/>
      <c r="L94" s="16" t="s">
        <v>139</v>
      </c>
      <c r="M94" s="16">
        <v>639</v>
      </c>
      <c r="N94" s="16">
        <v>1804</v>
      </c>
      <c r="O94" s="16">
        <v>18</v>
      </c>
      <c r="P94" s="20">
        <v>36</v>
      </c>
      <c r="Q94" s="18" t="s">
        <v>507</v>
      </c>
      <c r="R94" s="17" t="s">
        <v>365</v>
      </c>
      <c r="S94" s="17" t="s">
        <v>142</v>
      </c>
      <c r="T94" s="17"/>
    </row>
    <row r="95" s="1" customFormat="1" ht="52.2" spans="1:20">
      <c r="A95" s="17">
        <f t="shared" si="11"/>
        <v>90</v>
      </c>
      <c r="B95" s="17" t="s">
        <v>13</v>
      </c>
      <c r="C95" s="19" t="s">
        <v>15</v>
      </c>
      <c r="D95" s="19" t="s">
        <v>17</v>
      </c>
      <c r="E95" s="16" t="s">
        <v>508</v>
      </c>
      <c r="F95" s="18" t="s">
        <v>509</v>
      </c>
      <c r="G95" s="16" t="s">
        <v>362</v>
      </c>
      <c r="H95" s="20" t="s">
        <v>510</v>
      </c>
      <c r="I95" s="16">
        <f t="shared" si="12"/>
        <v>11</v>
      </c>
      <c r="J95" s="16">
        <v>11</v>
      </c>
      <c r="K95" s="16"/>
      <c r="L95" s="16" t="s">
        <v>139</v>
      </c>
      <c r="M95" s="16">
        <v>170</v>
      </c>
      <c r="N95" s="16">
        <v>448</v>
      </c>
      <c r="O95" s="16">
        <v>46</v>
      </c>
      <c r="P95" s="20">
        <v>27</v>
      </c>
      <c r="Q95" s="18" t="s">
        <v>511</v>
      </c>
      <c r="R95" s="17" t="s">
        <v>365</v>
      </c>
      <c r="S95" s="17" t="s">
        <v>142</v>
      </c>
      <c r="T95" s="17"/>
    </row>
    <row r="96" s="1" customFormat="1" ht="132" customHeight="1" spans="1:20">
      <c r="A96" s="17">
        <f t="shared" si="11"/>
        <v>91</v>
      </c>
      <c r="B96" s="17" t="s">
        <v>13</v>
      </c>
      <c r="C96" s="19" t="s">
        <v>15</v>
      </c>
      <c r="D96" s="19" t="s">
        <v>17</v>
      </c>
      <c r="E96" s="16" t="s">
        <v>512</v>
      </c>
      <c r="F96" s="18" t="s">
        <v>513</v>
      </c>
      <c r="G96" s="16" t="s">
        <v>429</v>
      </c>
      <c r="H96" s="20" t="s">
        <v>440</v>
      </c>
      <c r="I96" s="16">
        <f t="shared" si="12"/>
        <v>340</v>
      </c>
      <c r="J96" s="16">
        <v>136</v>
      </c>
      <c r="K96" s="16">
        <v>204</v>
      </c>
      <c r="L96" s="16" t="s">
        <v>139</v>
      </c>
      <c r="M96" s="16">
        <v>111</v>
      </c>
      <c r="N96" s="16">
        <v>334</v>
      </c>
      <c r="O96" s="16">
        <v>4</v>
      </c>
      <c r="P96" s="20">
        <v>5</v>
      </c>
      <c r="Q96" s="18" t="s">
        <v>514</v>
      </c>
      <c r="R96" s="17" t="s">
        <v>142</v>
      </c>
      <c r="S96" s="17" t="s">
        <v>142</v>
      </c>
      <c r="T96" s="17" t="s">
        <v>235</v>
      </c>
    </row>
    <row r="97" s="1" customFormat="1" ht="103" customHeight="1" spans="1:20">
      <c r="A97" s="17">
        <f t="shared" ref="A97:A106" si="13">ROW()-5</f>
        <v>92</v>
      </c>
      <c r="B97" s="17" t="s">
        <v>13</v>
      </c>
      <c r="C97" s="19" t="s">
        <v>15</v>
      </c>
      <c r="D97" s="19" t="s">
        <v>17</v>
      </c>
      <c r="E97" s="16" t="s">
        <v>515</v>
      </c>
      <c r="F97" s="18" t="s">
        <v>516</v>
      </c>
      <c r="G97" s="16" t="s">
        <v>316</v>
      </c>
      <c r="H97" s="20" t="s">
        <v>317</v>
      </c>
      <c r="I97" s="16">
        <f t="shared" si="12"/>
        <v>278</v>
      </c>
      <c r="J97" s="16">
        <v>108</v>
      </c>
      <c r="K97" s="16">
        <v>170</v>
      </c>
      <c r="L97" s="16" t="s">
        <v>139</v>
      </c>
      <c r="M97" s="16">
        <v>284</v>
      </c>
      <c r="N97" s="16">
        <v>1160</v>
      </c>
      <c r="O97" s="16">
        <v>11</v>
      </c>
      <c r="P97" s="20">
        <v>21</v>
      </c>
      <c r="Q97" s="18" t="s">
        <v>517</v>
      </c>
      <c r="R97" s="17" t="s">
        <v>142</v>
      </c>
      <c r="S97" s="17" t="s">
        <v>142</v>
      </c>
      <c r="T97" s="17"/>
    </row>
    <row r="98" s="1" customFormat="1" ht="192" customHeight="1" spans="1:20">
      <c r="A98" s="17">
        <f t="shared" si="13"/>
        <v>93</v>
      </c>
      <c r="B98" s="17" t="s">
        <v>13</v>
      </c>
      <c r="C98" s="19" t="s">
        <v>15</v>
      </c>
      <c r="D98" s="19" t="s">
        <v>17</v>
      </c>
      <c r="E98" s="16" t="s">
        <v>518</v>
      </c>
      <c r="F98" s="18" t="s">
        <v>519</v>
      </c>
      <c r="G98" s="16" t="s">
        <v>412</v>
      </c>
      <c r="H98" s="20" t="s">
        <v>422</v>
      </c>
      <c r="I98" s="16">
        <f t="shared" si="12"/>
        <v>300</v>
      </c>
      <c r="J98" s="16">
        <v>120</v>
      </c>
      <c r="K98" s="16">
        <v>180</v>
      </c>
      <c r="L98" s="16" t="s">
        <v>139</v>
      </c>
      <c r="M98" s="16">
        <v>179</v>
      </c>
      <c r="N98" s="16">
        <v>520</v>
      </c>
      <c r="O98" s="16">
        <v>1</v>
      </c>
      <c r="P98" s="20">
        <v>1</v>
      </c>
      <c r="Q98" s="18" t="s">
        <v>520</v>
      </c>
      <c r="R98" s="17" t="s">
        <v>142</v>
      </c>
      <c r="S98" s="17" t="s">
        <v>142</v>
      </c>
      <c r="T98" s="17" t="s">
        <v>235</v>
      </c>
    </row>
    <row r="99" s="1" customFormat="1" ht="52.2" spans="1:20">
      <c r="A99" s="17">
        <f t="shared" si="13"/>
        <v>94</v>
      </c>
      <c r="B99" s="17" t="s">
        <v>13</v>
      </c>
      <c r="C99" s="19" t="s">
        <v>15</v>
      </c>
      <c r="D99" s="19" t="s">
        <v>17</v>
      </c>
      <c r="E99" s="16" t="s">
        <v>521</v>
      </c>
      <c r="F99" s="18" t="s">
        <v>522</v>
      </c>
      <c r="G99" s="16" t="s">
        <v>362</v>
      </c>
      <c r="H99" s="20" t="s">
        <v>371</v>
      </c>
      <c r="I99" s="16">
        <f t="shared" si="12"/>
        <v>10</v>
      </c>
      <c r="J99" s="16">
        <v>10</v>
      </c>
      <c r="K99" s="16"/>
      <c r="L99" s="16" t="s">
        <v>139</v>
      </c>
      <c r="M99" s="16">
        <v>356</v>
      </c>
      <c r="N99" s="16">
        <v>962</v>
      </c>
      <c r="O99" s="16">
        <v>12</v>
      </c>
      <c r="P99" s="20">
        <v>18</v>
      </c>
      <c r="Q99" s="18" t="s">
        <v>523</v>
      </c>
      <c r="R99" s="17" t="s">
        <v>365</v>
      </c>
      <c r="S99" s="17" t="s">
        <v>142</v>
      </c>
      <c r="T99" s="17" t="s">
        <v>176</v>
      </c>
    </row>
    <row r="100" s="1" customFormat="1" ht="52.2" spans="1:20">
      <c r="A100" s="17">
        <f t="shared" si="13"/>
        <v>95</v>
      </c>
      <c r="B100" s="17" t="s">
        <v>13</v>
      </c>
      <c r="C100" s="19" t="s">
        <v>15</v>
      </c>
      <c r="D100" s="19" t="s">
        <v>17</v>
      </c>
      <c r="E100" s="16" t="s">
        <v>524</v>
      </c>
      <c r="F100" s="18" t="s">
        <v>525</v>
      </c>
      <c r="G100" s="16" t="s">
        <v>362</v>
      </c>
      <c r="H100" s="20" t="s">
        <v>371</v>
      </c>
      <c r="I100" s="16">
        <f t="shared" si="12"/>
        <v>39.5</v>
      </c>
      <c r="J100" s="16"/>
      <c r="K100" s="16">
        <v>39.5</v>
      </c>
      <c r="L100" s="16" t="s">
        <v>139</v>
      </c>
      <c r="M100" s="16">
        <v>136</v>
      </c>
      <c r="N100" s="16">
        <v>220</v>
      </c>
      <c r="O100" s="16">
        <v>3</v>
      </c>
      <c r="P100" s="20">
        <v>7</v>
      </c>
      <c r="Q100" s="18" t="s">
        <v>526</v>
      </c>
      <c r="R100" s="17" t="s">
        <v>365</v>
      </c>
      <c r="S100" s="17" t="s">
        <v>142</v>
      </c>
      <c r="T100" s="17" t="s">
        <v>176</v>
      </c>
    </row>
    <row r="101" s="1" customFormat="1" ht="87" spans="1:20">
      <c r="A101" s="17">
        <f t="shared" si="13"/>
        <v>96</v>
      </c>
      <c r="B101" s="17" t="s">
        <v>13</v>
      </c>
      <c r="C101" s="19" t="s">
        <v>15</v>
      </c>
      <c r="D101" s="19" t="s">
        <v>17</v>
      </c>
      <c r="E101" s="16" t="s">
        <v>527</v>
      </c>
      <c r="F101" s="18" t="s">
        <v>528</v>
      </c>
      <c r="G101" s="16" t="s">
        <v>429</v>
      </c>
      <c r="H101" s="20" t="s">
        <v>529</v>
      </c>
      <c r="I101" s="16">
        <f t="shared" si="12"/>
        <v>95.075</v>
      </c>
      <c r="J101" s="16"/>
      <c r="K101" s="16">
        <v>95.075</v>
      </c>
      <c r="L101" s="16" t="s">
        <v>139</v>
      </c>
      <c r="M101" s="16">
        <v>271</v>
      </c>
      <c r="N101" s="16">
        <v>700</v>
      </c>
      <c r="O101" s="16">
        <v>7</v>
      </c>
      <c r="P101" s="20">
        <v>13</v>
      </c>
      <c r="Q101" s="18" t="s">
        <v>530</v>
      </c>
      <c r="R101" s="17" t="s">
        <v>432</v>
      </c>
      <c r="S101" s="17" t="s">
        <v>142</v>
      </c>
      <c r="T101" s="17" t="s">
        <v>229</v>
      </c>
    </row>
    <row r="102" s="1" customFormat="1" ht="87" spans="1:20">
      <c r="A102" s="17">
        <f t="shared" si="13"/>
        <v>97</v>
      </c>
      <c r="B102" s="17" t="s">
        <v>13</v>
      </c>
      <c r="C102" s="19" t="s">
        <v>15</v>
      </c>
      <c r="D102" s="19" t="s">
        <v>17</v>
      </c>
      <c r="E102" s="16" t="s">
        <v>531</v>
      </c>
      <c r="F102" s="18" t="s">
        <v>532</v>
      </c>
      <c r="G102" s="16" t="s">
        <v>429</v>
      </c>
      <c r="H102" s="20" t="s">
        <v>533</v>
      </c>
      <c r="I102" s="16">
        <f t="shared" si="12"/>
        <v>30</v>
      </c>
      <c r="J102" s="16"/>
      <c r="K102" s="16">
        <v>30</v>
      </c>
      <c r="L102" s="16" t="s">
        <v>139</v>
      </c>
      <c r="M102" s="16">
        <v>51</v>
      </c>
      <c r="N102" s="16">
        <v>96</v>
      </c>
      <c r="O102" s="16">
        <v>3</v>
      </c>
      <c r="P102" s="20">
        <v>6</v>
      </c>
      <c r="Q102" s="18" t="s">
        <v>534</v>
      </c>
      <c r="R102" s="17" t="s">
        <v>432</v>
      </c>
      <c r="S102" s="17" t="s">
        <v>142</v>
      </c>
      <c r="T102" s="17" t="s">
        <v>229</v>
      </c>
    </row>
    <row r="103" s="1" customFormat="1" ht="133" customHeight="1" spans="1:20">
      <c r="A103" s="17">
        <f t="shared" si="13"/>
        <v>98</v>
      </c>
      <c r="B103" s="17" t="s">
        <v>13</v>
      </c>
      <c r="C103" s="19" t="s">
        <v>15</v>
      </c>
      <c r="D103" s="19" t="s">
        <v>17</v>
      </c>
      <c r="E103" s="16" t="s">
        <v>535</v>
      </c>
      <c r="F103" s="18" t="s">
        <v>536</v>
      </c>
      <c r="G103" s="16" t="s">
        <v>429</v>
      </c>
      <c r="H103" s="20" t="s">
        <v>430</v>
      </c>
      <c r="I103" s="16">
        <f t="shared" si="12"/>
        <v>40</v>
      </c>
      <c r="J103" s="16"/>
      <c r="K103" s="16">
        <v>40</v>
      </c>
      <c r="L103" s="16" t="s">
        <v>139</v>
      </c>
      <c r="M103" s="16">
        <v>425</v>
      </c>
      <c r="N103" s="16">
        <v>1159</v>
      </c>
      <c r="O103" s="16">
        <v>14</v>
      </c>
      <c r="P103" s="20">
        <v>31</v>
      </c>
      <c r="Q103" s="18" t="s">
        <v>537</v>
      </c>
      <c r="R103" s="17" t="s">
        <v>432</v>
      </c>
      <c r="S103" s="17" t="s">
        <v>142</v>
      </c>
      <c r="T103" s="17" t="s">
        <v>538</v>
      </c>
    </row>
    <row r="104" s="1" customFormat="1" ht="69.6" spans="1:20">
      <c r="A104" s="17">
        <f t="shared" si="13"/>
        <v>99</v>
      </c>
      <c r="B104" s="17" t="s">
        <v>13</v>
      </c>
      <c r="C104" s="19" t="s">
        <v>15</v>
      </c>
      <c r="D104" s="19" t="s">
        <v>17</v>
      </c>
      <c r="E104" s="16" t="s">
        <v>539</v>
      </c>
      <c r="F104" s="18" t="s">
        <v>540</v>
      </c>
      <c r="G104" s="16" t="s">
        <v>194</v>
      </c>
      <c r="H104" s="20" t="s">
        <v>195</v>
      </c>
      <c r="I104" s="16">
        <f t="shared" si="12"/>
        <v>20</v>
      </c>
      <c r="J104" s="16">
        <v>20</v>
      </c>
      <c r="K104" s="16"/>
      <c r="L104" s="16" t="s">
        <v>139</v>
      </c>
      <c r="M104" s="16">
        <v>453</v>
      </c>
      <c r="N104" s="16">
        <v>1121</v>
      </c>
      <c r="O104" s="16">
        <v>15</v>
      </c>
      <c r="P104" s="20">
        <v>34</v>
      </c>
      <c r="Q104" s="18" t="s">
        <v>541</v>
      </c>
      <c r="R104" s="17" t="s">
        <v>194</v>
      </c>
      <c r="S104" s="17" t="s">
        <v>142</v>
      </c>
      <c r="T104" s="17"/>
    </row>
    <row r="105" ht="104" customHeight="1" spans="1:20">
      <c r="A105" s="17">
        <f t="shared" si="13"/>
        <v>100</v>
      </c>
      <c r="B105" s="16" t="s">
        <v>13</v>
      </c>
      <c r="C105" s="16" t="s">
        <v>15</v>
      </c>
      <c r="D105" s="16" t="s">
        <v>17</v>
      </c>
      <c r="E105" s="16" t="s">
        <v>542</v>
      </c>
      <c r="F105" s="18" t="s">
        <v>543</v>
      </c>
      <c r="G105" s="16" t="s">
        <v>316</v>
      </c>
      <c r="H105" s="16" t="s">
        <v>337</v>
      </c>
      <c r="I105" s="16">
        <f t="shared" si="12"/>
        <v>336</v>
      </c>
      <c r="J105" s="16">
        <v>135</v>
      </c>
      <c r="K105" s="16">
        <v>201</v>
      </c>
      <c r="L105" s="16" t="s">
        <v>139</v>
      </c>
      <c r="M105" s="16">
        <v>1309</v>
      </c>
      <c r="N105" s="16">
        <v>3131</v>
      </c>
      <c r="O105" s="16">
        <v>31</v>
      </c>
      <c r="P105" s="16">
        <v>50</v>
      </c>
      <c r="Q105" s="18" t="s">
        <v>544</v>
      </c>
      <c r="R105" s="16" t="s">
        <v>142</v>
      </c>
      <c r="S105" s="16" t="s">
        <v>142</v>
      </c>
      <c r="T105" s="16" t="s">
        <v>545</v>
      </c>
    </row>
    <row r="106" s="1" customFormat="1" ht="99" customHeight="1" spans="1:20">
      <c r="A106" s="17">
        <f t="shared" si="13"/>
        <v>101</v>
      </c>
      <c r="B106" s="17" t="s">
        <v>13</v>
      </c>
      <c r="C106" s="19" t="s">
        <v>15</v>
      </c>
      <c r="D106" s="19" t="s">
        <v>17</v>
      </c>
      <c r="E106" s="16" t="s">
        <v>546</v>
      </c>
      <c r="F106" s="18" t="s">
        <v>547</v>
      </c>
      <c r="G106" s="16" t="s">
        <v>285</v>
      </c>
      <c r="H106" s="20" t="s">
        <v>295</v>
      </c>
      <c r="I106" s="16">
        <f t="shared" si="12"/>
        <v>55</v>
      </c>
      <c r="J106" s="16">
        <v>55</v>
      </c>
      <c r="K106" s="16"/>
      <c r="L106" s="16" t="s">
        <v>139</v>
      </c>
      <c r="M106" s="16">
        <v>3021</v>
      </c>
      <c r="N106" s="16">
        <v>8191</v>
      </c>
      <c r="O106" s="16">
        <v>56</v>
      </c>
      <c r="P106" s="20">
        <v>127</v>
      </c>
      <c r="Q106" s="18" t="s">
        <v>548</v>
      </c>
      <c r="R106" s="17" t="s">
        <v>288</v>
      </c>
      <c r="S106" s="17" t="s">
        <v>142</v>
      </c>
      <c r="T106" s="17" t="s">
        <v>176</v>
      </c>
    </row>
    <row r="107" s="1" customFormat="1" ht="66" customHeight="1" spans="1:20">
      <c r="A107" s="17">
        <f t="shared" ref="A107:A116" si="14">ROW()-5</f>
        <v>102</v>
      </c>
      <c r="B107" s="17" t="s">
        <v>13</v>
      </c>
      <c r="C107" s="19" t="s">
        <v>15</v>
      </c>
      <c r="D107" s="19" t="s">
        <v>17</v>
      </c>
      <c r="E107" s="16" t="s">
        <v>549</v>
      </c>
      <c r="F107" s="18" t="s">
        <v>550</v>
      </c>
      <c r="G107" s="16" t="s">
        <v>362</v>
      </c>
      <c r="H107" s="20" t="s">
        <v>371</v>
      </c>
      <c r="I107" s="16">
        <f t="shared" si="12"/>
        <v>8</v>
      </c>
      <c r="J107" s="16">
        <v>8</v>
      </c>
      <c r="K107" s="16"/>
      <c r="L107" s="16" t="s">
        <v>139</v>
      </c>
      <c r="M107" s="16">
        <v>354</v>
      </c>
      <c r="N107" s="16">
        <v>962</v>
      </c>
      <c r="O107" s="16">
        <v>12</v>
      </c>
      <c r="P107" s="20">
        <v>18</v>
      </c>
      <c r="Q107" s="18" t="s">
        <v>551</v>
      </c>
      <c r="R107" s="17" t="s">
        <v>365</v>
      </c>
      <c r="S107" s="17" t="s">
        <v>142</v>
      </c>
      <c r="T107" s="17" t="s">
        <v>176</v>
      </c>
    </row>
    <row r="108" ht="174" customHeight="1" spans="1:20">
      <c r="A108" s="17">
        <f t="shared" si="14"/>
        <v>103</v>
      </c>
      <c r="B108" s="17" t="s">
        <v>13</v>
      </c>
      <c r="C108" s="17" t="s">
        <v>15</v>
      </c>
      <c r="D108" s="17" t="s">
        <v>17</v>
      </c>
      <c r="E108" s="17" t="s">
        <v>552</v>
      </c>
      <c r="F108" s="21" t="s">
        <v>553</v>
      </c>
      <c r="G108" s="17" t="s">
        <v>213</v>
      </c>
      <c r="H108" s="17" t="s">
        <v>554</v>
      </c>
      <c r="I108" s="16">
        <f t="shared" si="12"/>
        <v>70</v>
      </c>
      <c r="J108" s="17">
        <v>70</v>
      </c>
      <c r="K108" s="17"/>
      <c r="L108" s="17" t="s">
        <v>139</v>
      </c>
      <c r="M108" s="17">
        <v>3842</v>
      </c>
      <c r="N108" s="17">
        <v>10430</v>
      </c>
      <c r="O108" s="17">
        <v>293</v>
      </c>
      <c r="P108" s="17">
        <v>634</v>
      </c>
      <c r="Q108" s="21" t="s">
        <v>555</v>
      </c>
      <c r="R108" s="17" t="s">
        <v>216</v>
      </c>
      <c r="S108" s="17" t="s">
        <v>142</v>
      </c>
      <c r="T108" s="17"/>
    </row>
    <row r="109" ht="75" customHeight="1" spans="1:20">
      <c r="A109" s="17">
        <f t="shared" si="14"/>
        <v>104</v>
      </c>
      <c r="B109" s="17" t="s">
        <v>13</v>
      </c>
      <c r="C109" s="17" t="s">
        <v>15</v>
      </c>
      <c r="D109" s="17" t="s">
        <v>17</v>
      </c>
      <c r="E109" s="17" t="s">
        <v>556</v>
      </c>
      <c r="F109" s="21" t="s">
        <v>557</v>
      </c>
      <c r="G109" s="17" t="s">
        <v>362</v>
      </c>
      <c r="H109" s="17" t="s">
        <v>558</v>
      </c>
      <c r="I109" s="16">
        <f t="shared" si="12"/>
        <v>192</v>
      </c>
      <c r="J109" s="17">
        <v>192</v>
      </c>
      <c r="K109" s="17"/>
      <c r="L109" s="17" t="s">
        <v>139</v>
      </c>
      <c r="M109" s="17">
        <v>377</v>
      </c>
      <c r="N109" s="17">
        <v>1069</v>
      </c>
      <c r="O109" s="17">
        <v>0</v>
      </c>
      <c r="P109" s="17">
        <v>0</v>
      </c>
      <c r="Q109" s="21" t="s">
        <v>559</v>
      </c>
      <c r="R109" s="17" t="s">
        <v>365</v>
      </c>
      <c r="S109" s="17" t="s">
        <v>142</v>
      </c>
      <c r="T109" s="17"/>
    </row>
    <row r="110" ht="87" customHeight="1" spans="1:20">
      <c r="A110" s="17">
        <f t="shared" si="14"/>
        <v>105</v>
      </c>
      <c r="B110" s="17" t="s">
        <v>13</v>
      </c>
      <c r="C110" s="17" t="s">
        <v>15</v>
      </c>
      <c r="D110" s="17" t="s">
        <v>17</v>
      </c>
      <c r="E110" s="17" t="s">
        <v>560</v>
      </c>
      <c r="F110" s="21" t="s">
        <v>561</v>
      </c>
      <c r="G110" s="17" t="s">
        <v>362</v>
      </c>
      <c r="H110" s="17" t="s">
        <v>371</v>
      </c>
      <c r="I110" s="16">
        <f t="shared" si="12"/>
        <v>29</v>
      </c>
      <c r="J110" s="17">
        <v>29</v>
      </c>
      <c r="K110" s="17"/>
      <c r="L110" s="17" t="s">
        <v>139</v>
      </c>
      <c r="M110" s="17">
        <v>356</v>
      </c>
      <c r="N110" s="17">
        <v>962</v>
      </c>
      <c r="O110" s="17">
        <v>12</v>
      </c>
      <c r="P110" s="19">
        <v>18</v>
      </c>
      <c r="Q110" s="21" t="s">
        <v>562</v>
      </c>
      <c r="R110" s="17" t="s">
        <v>365</v>
      </c>
      <c r="S110" s="17" t="s">
        <v>142</v>
      </c>
      <c r="T110" s="17" t="s">
        <v>176</v>
      </c>
    </row>
    <row r="111" ht="65" customHeight="1" spans="1:20">
      <c r="A111" s="17">
        <f t="shared" si="14"/>
        <v>106</v>
      </c>
      <c r="B111" s="17" t="s">
        <v>13</v>
      </c>
      <c r="C111" s="17" t="s">
        <v>15</v>
      </c>
      <c r="D111" s="17" t="s">
        <v>17</v>
      </c>
      <c r="E111" s="17" t="s">
        <v>563</v>
      </c>
      <c r="F111" s="21" t="s">
        <v>564</v>
      </c>
      <c r="G111" s="17" t="s">
        <v>362</v>
      </c>
      <c r="H111" s="17" t="s">
        <v>371</v>
      </c>
      <c r="I111" s="16">
        <f t="shared" si="12"/>
        <v>12</v>
      </c>
      <c r="J111" s="17">
        <v>12</v>
      </c>
      <c r="K111" s="17"/>
      <c r="L111" s="17" t="s">
        <v>139</v>
      </c>
      <c r="M111" s="17">
        <v>356</v>
      </c>
      <c r="N111" s="17">
        <v>962</v>
      </c>
      <c r="O111" s="17">
        <v>12</v>
      </c>
      <c r="P111" s="19">
        <v>18</v>
      </c>
      <c r="Q111" s="21" t="s">
        <v>565</v>
      </c>
      <c r="R111" s="17" t="s">
        <v>365</v>
      </c>
      <c r="S111" s="17" t="s">
        <v>142</v>
      </c>
      <c r="T111" s="17" t="s">
        <v>176</v>
      </c>
    </row>
    <row r="112" ht="156.6" spans="1:20">
      <c r="A112" s="17">
        <f t="shared" si="14"/>
        <v>107</v>
      </c>
      <c r="B112" s="17" t="s">
        <v>13</v>
      </c>
      <c r="C112" s="17" t="s">
        <v>15</v>
      </c>
      <c r="D112" s="17" t="s">
        <v>17</v>
      </c>
      <c r="E112" s="17" t="s">
        <v>566</v>
      </c>
      <c r="F112" s="21" t="s">
        <v>567</v>
      </c>
      <c r="G112" s="17" t="s">
        <v>137</v>
      </c>
      <c r="H112" s="17" t="s">
        <v>154</v>
      </c>
      <c r="I112" s="16">
        <f t="shared" si="12"/>
        <v>24</v>
      </c>
      <c r="J112" s="17">
        <v>9.6</v>
      </c>
      <c r="K112" s="17">
        <v>14.4</v>
      </c>
      <c r="L112" s="17" t="s">
        <v>139</v>
      </c>
      <c r="M112" s="17">
        <v>366</v>
      </c>
      <c r="N112" s="17">
        <v>923</v>
      </c>
      <c r="O112" s="17">
        <v>16</v>
      </c>
      <c r="P112" s="17">
        <v>41</v>
      </c>
      <c r="Q112" s="21" t="s">
        <v>568</v>
      </c>
      <c r="R112" s="17" t="s">
        <v>141</v>
      </c>
      <c r="S112" s="17" t="s">
        <v>142</v>
      </c>
      <c r="T112" s="17"/>
    </row>
    <row r="113" ht="69.6" spans="1:20">
      <c r="A113" s="17">
        <f t="shared" si="14"/>
        <v>108</v>
      </c>
      <c r="B113" s="17" t="s">
        <v>13</v>
      </c>
      <c r="C113" s="19" t="s">
        <v>15</v>
      </c>
      <c r="D113" s="19" t="s">
        <v>17</v>
      </c>
      <c r="E113" s="17" t="s">
        <v>569</v>
      </c>
      <c r="F113" s="21" t="s">
        <v>570</v>
      </c>
      <c r="G113" s="17" t="s">
        <v>571</v>
      </c>
      <c r="H113" s="17" t="s">
        <v>572</v>
      </c>
      <c r="I113" s="16">
        <f t="shared" si="12"/>
        <v>12</v>
      </c>
      <c r="J113" s="17">
        <v>4.8</v>
      </c>
      <c r="K113" s="17">
        <v>7.2</v>
      </c>
      <c r="L113" s="17" t="s">
        <v>139</v>
      </c>
      <c r="M113" s="17">
        <v>329</v>
      </c>
      <c r="N113" s="17">
        <v>978</v>
      </c>
      <c r="O113" s="17">
        <v>9</v>
      </c>
      <c r="P113" s="17">
        <v>13</v>
      </c>
      <c r="Q113" s="21" t="s">
        <v>573</v>
      </c>
      <c r="R113" s="17" t="s">
        <v>574</v>
      </c>
      <c r="S113" s="17" t="s">
        <v>142</v>
      </c>
      <c r="T113" s="17"/>
    </row>
    <row r="114" ht="87" spans="1:20">
      <c r="A114" s="17">
        <f t="shared" si="14"/>
        <v>109</v>
      </c>
      <c r="B114" s="17" t="s">
        <v>13</v>
      </c>
      <c r="C114" s="17" t="s">
        <v>15</v>
      </c>
      <c r="D114" s="17" t="s">
        <v>17</v>
      </c>
      <c r="E114" s="17" t="s">
        <v>575</v>
      </c>
      <c r="F114" s="21" t="s">
        <v>576</v>
      </c>
      <c r="G114" s="17" t="s">
        <v>173</v>
      </c>
      <c r="H114" s="17" t="s">
        <v>174</v>
      </c>
      <c r="I114" s="16">
        <f t="shared" si="12"/>
        <v>40</v>
      </c>
      <c r="J114" s="17">
        <v>40</v>
      </c>
      <c r="K114" s="17"/>
      <c r="L114" s="17" t="s">
        <v>139</v>
      </c>
      <c r="M114" s="17">
        <v>443</v>
      </c>
      <c r="N114" s="17">
        <v>1123</v>
      </c>
      <c r="O114" s="17">
        <v>8</v>
      </c>
      <c r="P114" s="17">
        <v>14</v>
      </c>
      <c r="Q114" s="21" t="s">
        <v>577</v>
      </c>
      <c r="R114" s="17" t="s">
        <v>173</v>
      </c>
      <c r="S114" s="17" t="s">
        <v>142</v>
      </c>
      <c r="T114" s="17" t="s">
        <v>176</v>
      </c>
    </row>
    <row r="115" ht="79" customHeight="1" spans="1:20">
      <c r="A115" s="17">
        <f t="shared" si="14"/>
        <v>110</v>
      </c>
      <c r="B115" s="17" t="s">
        <v>13</v>
      </c>
      <c r="C115" s="17" t="s">
        <v>15</v>
      </c>
      <c r="D115" s="17" t="s">
        <v>17</v>
      </c>
      <c r="E115" s="17" t="s">
        <v>578</v>
      </c>
      <c r="F115" s="21" t="s">
        <v>579</v>
      </c>
      <c r="G115" s="17" t="s">
        <v>183</v>
      </c>
      <c r="H115" s="17" t="s">
        <v>580</v>
      </c>
      <c r="I115" s="16">
        <f t="shared" si="12"/>
        <v>10</v>
      </c>
      <c r="J115" s="17">
        <v>4</v>
      </c>
      <c r="K115" s="17">
        <v>6</v>
      </c>
      <c r="L115" s="17" t="s">
        <v>139</v>
      </c>
      <c r="M115" s="17">
        <v>410</v>
      </c>
      <c r="N115" s="17">
        <v>1094</v>
      </c>
      <c r="O115" s="17">
        <v>19</v>
      </c>
      <c r="P115" s="17">
        <v>44</v>
      </c>
      <c r="Q115" s="21" t="s">
        <v>581</v>
      </c>
      <c r="R115" s="17" t="s">
        <v>183</v>
      </c>
      <c r="S115" s="17" t="s">
        <v>142</v>
      </c>
      <c r="T115" s="17"/>
    </row>
    <row r="116" ht="61" customHeight="1" spans="1:20">
      <c r="A116" s="17">
        <f t="shared" si="14"/>
        <v>111</v>
      </c>
      <c r="B116" s="17" t="s">
        <v>13</v>
      </c>
      <c r="C116" s="17" t="s">
        <v>15</v>
      </c>
      <c r="D116" s="17" t="s">
        <v>17</v>
      </c>
      <c r="E116" s="17" t="s">
        <v>582</v>
      </c>
      <c r="F116" s="21" t="s">
        <v>583</v>
      </c>
      <c r="G116" s="17" t="s">
        <v>207</v>
      </c>
      <c r="H116" s="17" t="s">
        <v>584</v>
      </c>
      <c r="I116" s="16">
        <f t="shared" si="12"/>
        <v>12</v>
      </c>
      <c r="J116" s="17">
        <v>4.8</v>
      </c>
      <c r="K116" s="17">
        <v>7.2</v>
      </c>
      <c r="L116" s="17" t="s">
        <v>139</v>
      </c>
      <c r="M116" s="17">
        <v>367</v>
      </c>
      <c r="N116" s="17">
        <v>940</v>
      </c>
      <c r="O116" s="17">
        <v>23</v>
      </c>
      <c r="P116" s="17">
        <v>42</v>
      </c>
      <c r="Q116" s="21" t="s">
        <v>585</v>
      </c>
      <c r="R116" s="17" t="s">
        <v>210</v>
      </c>
      <c r="S116" s="17" t="s">
        <v>142</v>
      </c>
      <c r="T116" s="17"/>
    </row>
    <row r="117" ht="87" spans="1:20">
      <c r="A117" s="17">
        <f t="shared" ref="A117:A126" si="15">ROW()-5</f>
        <v>112</v>
      </c>
      <c r="B117" s="17" t="s">
        <v>13</v>
      </c>
      <c r="C117" s="17" t="s">
        <v>15</v>
      </c>
      <c r="D117" s="19" t="s">
        <v>17</v>
      </c>
      <c r="E117" s="17" t="s">
        <v>586</v>
      </c>
      <c r="F117" s="21" t="s">
        <v>587</v>
      </c>
      <c r="G117" s="17" t="s">
        <v>173</v>
      </c>
      <c r="H117" s="17" t="s">
        <v>179</v>
      </c>
      <c r="I117" s="16">
        <f t="shared" si="12"/>
        <v>4</v>
      </c>
      <c r="J117" s="17">
        <v>4</v>
      </c>
      <c r="K117" s="17"/>
      <c r="L117" s="17" t="s">
        <v>139</v>
      </c>
      <c r="M117" s="17">
        <v>403</v>
      </c>
      <c r="N117" s="17">
        <v>1036</v>
      </c>
      <c r="O117" s="17">
        <v>13</v>
      </c>
      <c r="P117" s="17">
        <v>23</v>
      </c>
      <c r="Q117" s="21" t="s">
        <v>588</v>
      </c>
      <c r="R117" s="17" t="s">
        <v>173</v>
      </c>
      <c r="S117" s="17" t="s">
        <v>142</v>
      </c>
      <c r="T117" s="17" t="s">
        <v>143</v>
      </c>
    </row>
    <row r="118" ht="52.2" spans="1:20">
      <c r="A118" s="17">
        <f t="shared" si="15"/>
        <v>113</v>
      </c>
      <c r="B118" s="17" t="s">
        <v>13</v>
      </c>
      <c r="C118" s="19" t="s">
        <v>15</v>
      </c>
      <c r="D118" s="19" t="s">
        <v>17</v>
      </c>
      <c r="E118" s="17" t="s">
        <v>589</v>
      </c>
      <c r="F118" s="21" t="s">
        <v>590</v>
      </c>
      <c r="G118" s="17" t="s">
        <v>591</v>
      </c>
      <c r="H118" s="17" t="s">
        <v>592</v>
      </c>
      <c r="I118" s="16">
        <f t="shared" si="12"/>
        <v>2.4</v>
      </c>
      <c r="J118" s="17">
        <v>0.96</v>
      </c>
      <c r="K118" s="17">
        <v>1.44</v>
      </c>
      <c r="L118" s="17" t="s">
        <v>139</v>
      </c>
      <c r="M118" s="17">
        <v>100</v>
      </c>
      <c r="N118" s="17">
        <v>328</v>
      </c>
      <c r="O118" s="17">
        <v>2</v>
      </c>
      <c r="P118" s="17">
        <v>5</v>
      </c>
      <c r="Q118" s="21" t="s">
        <v>593</v>
      </c>
      <c r="R118" s="17" t="s">
        <v>594</v>
      </c>
      <c r="S118" s="17" t="s">
        <v>142</v>
      </c>
      <c r="T118" s="17"/>
    </row>
    <row r="119" s="2" customFormat="1" ht="65" customHeight="1" spans="1:20">
      <c r="A119" s="17">
        <f t="shared" si="15"/>
        <v>114</v>
      </c>
      <c r="B119" s="17" t="s">
        <v>13</v>
      </c>
      <c r="C119" s="17" t="s">
        <v>15</v>
      </c>
      <c r="D119" s="17" t="s">
        <v>17</v>
      </c>
      <c r="E119" s="17" t="s">
        <v>595</v>
      </c>
      <c r="F119" s="21" t="s">
        <v>596</v>
      </c>
      <c r="G119" s="17" t="s">
        <v>362</v>
      </c>
      <c r="H119" s="17" t="s">
        <v>597</v>
      </c>
      <c r="I119" s="16">
        <f t="shared" si="12"/>
        <v>50</v>
      </c>
      <c r="J119" s="17">
        <v>50</v>
      </c>
      <c r="K119" s="16"/>
      <c r="L119" s="17" t="s">
        <v>139</v>
      </c>
      <c r="M119" s="17">
        <v>342</v>
      </c>
      <c r="N119" s="17">
        <v>969</v>
      </c>
      <c r="O119" s="17">
        <v>13</v>
      </c>
      <c r="P119" s="17">
        <v>22</v>
      </c>
      <c r="Q119" s="21" t="s">
        <v>598</v>
      </c>
      <c r="R119" s="17" t="s">
        <v>365</v>
      </c>
      <c r="S119" s="17" t="s">
        <v>142</v>
      </c>
      <c r="T119" s="17" t="s">
        <v>176</v>
      </c>
    </row>
    <row r="120" s="2" customFormat="1" ht="70" customHeight="1" spans="1:20">
      <c r="A120" s="17">
        <f t="shared" si="15"/>
        <v>115</v>
      </c>
      <c r="B120" s="17" t="s">
        <v>13</v>
      </c>
      <c r="C120" s="17" t="s">
        <v>15</v>
      </c>
      <c r="D120" s="17" t="s">
        <v>17</v>
      </c>
      <c r="E120" s="17" t="s">
        <v>599</v>
      </c>
      <c r="F120" s="21" t="s">
        <v>600</v>
      </c>
      <c r="G120" s="17" t="s">
        <v>362</v>
      </c>
      <c r="H120" s="17" t="s">
        <v>371</v>
      </c>
      <c r="I120" s="16">
        <f t="shared" si="12"/>
        <v>37.5</v>
      </c>
      <c r="J120" s="17">
        <v>37.5</v>
      </c>
      <c r="K120" s="16"/>
      <c r="L120" s="17" t="s">
        <v>139</v>
      </c>
      <c r="M120" s="17">
        <v>356</v>
      </c>
      <c r="N120" s="17">
        <v>962</v>
      </c>
      <c r="O120" s="17">
        <v>12</v>
      </c>
      <c r="P120" s="17">
        <v>18</v>
      </c>
      <c r="Q120" s="21" t="s">
        <v>601</v>
      </c>
      <c r="R120" s="17" t="s">
        <v>365</v>
      </c>
      <c r="S120" s="17" t="s">
        <v>142</v>
      </c>
      <c r="T120" s="17" t="s">
        <v>176</v>
      </c>
    </row>
    <row r="121" ht="87" customHeight="1" spans="1:20">
      <c r="A121" s="17">
        <f t="shared" si="15"/>
        <v>116</v>
      </c>
      <c r="B121" s="17" t="s">
        <v>13</v>
      </c>
      <c r="C121" s="19" t="s">
        <v>15</v>
      </c>
      <c r="D121" s="19" t="s">
        <v>17</v>
      </c>
      <c r="E121" s="16" t="s">
        <v>602</v>
      </c>
      <c r="F121" s="18" t="s">
        <v>603</v>
      </c>
      <c r="G121" s="16" t="s">
        <v>232</v>
      </c>
      <c r="H121" s="20" t="s">
        <v>604</v>
      </c>
      <c r="I121" s="16">
        <f t="shared" si="12"/>
        <v>57.947</v>
      </c>
      <c r="J121" s="25">
        <v>57.947</v>
      </c>
      <c r="K121" s="16">
        <v>0</v>
      </c>
      <c r="L121" s="16" t="s">
        <v>139</v>
      </c>
      <c r="M121" s="16">
        <v>6281</v>
      </c>
      <c r="N121" s="16">
        <v>16548</v>
      </c>
      <c r="O121" s="16">
        <v>310</v>
      </c>
      <c r="P121" s="20">
        <v>594</v>
      </c>
      <c r="Q121" s="18" t="s">
        <v>605</v>
      </c>
      <c r="R121" s="17" t="s">
        <v>240</v>
      </c>
      <c r="S121" s="17" t="s">
        <v>142</v>
      </c>
      <c r="T121" s="17"/>
    </row>
    <row r="122" s="1" customFormat="1" ht="64" customHeight="1" spans="1:20">
      <c r="A122" s="17">
        <f t="shared" si="15"/>
        <v>117</v>
      </c>
      <c r="B122" s="17" t="s">
        <v>13</v>
      </c>
      <c r="C122" s="19" t="s">
        <v>15</v>
      </c>
      <c r="D122" s="19" t="s">
        <v>18</v>
      </c>
      <c r="E122" s="16" t="s">
        <v>606</v>
      </c>
      <c r="F122" s="18" t="s">
        <v>607</v>
      </c>
      <c r="G122" s="16" t="s">
        <v>168</v>
      </c>
      <c r="H122" s="20" t="s">
        <v>608</v>
      </c>
      <c r="I122" s="16">
        <f t="shared" si="12"/>
        <v>30</v>
      </c>
      <c r="J122" s="16">
        <v>30</v>
      </c>
      <c r="K122" s="16"/>
      <c r="L122" s="16" t="s">
        <v>139</v>
      </c>
      <c r="M122" s="16">
        <v>594</v>
      </c>
      <c r="N122" s="16">
        <v>1471</v>
      </c>
      <c r="O122" s="16">
        <v>17</v>
      </c>
      <c r="P122" s="20">
        <v>27</v>
      </c>
      <c r="Q122" s="18" t="s">
        <v>609</v>
      </c>
      <c r="R122" s="17" t="s">
        <v>455</v>
      </c>
      <c r="S122" s="17" t="s">
        <v>142</v>
      </c>
      <c r="T122" s="17"/>
    </row>
    <row r="123" s="1" customFormat="1" ht="111" customHeight="1" spans="1:20">
      <c r="A123" s="17">
        <f t="shared" si="15"/>
        <v>118</v>
      </c>
      <c r="B123" s="17" t="s">
        <v>13</v>
      </c>
      <c r="C123" s="19" t="s">
        <v>15</v>
      </c>
      <c r="D123" s="19" t="s">
        <v>18</v>
      </c>
      <c r="E123" s="16" t="s">
        <v>610</v>
      </c>
      <c r="F123" s="18" t="s">
        <v>611</v>
      </c>
      <c r="G123" s="16" t="s">
        <v>412</v>
      </c>
      <c r="H123" s="20" t="s">
        <v>418</v>
      </c>
      <c r="I123" s="16">
        <f t="shared" si="12"/>
        <v>50</v>
      </c>
      <c r="J123" s="16">
        <v>50</v>
      </c>
      <c r="K123" s="16"/>
      <c r="L123" s="16" t="s">
        <v>139</v>
      </c>
      <c r="M123" s="16">
        <v>519</v>
      </c>
      <c r="N123" s="16">
        <v>1519</v>
      </c>
      <c r="O123" s="16">
        <v>13</v>
      </c>
      <c r="P123" s="20">
        <v>21</v>
      </c>
      <c r="Q123" s="18" t="s">
        <v>612</v>
      </c>
      <c r="R123" s="17" t="s">
        <v>415</v>
      </c>
      <c r="S123" s="17" t="s">
        <v>142</v>
      </c>
      <c r="T123" s="17" t="s">
        <v>176</v>
      </c>
    </row>
    <row r="124" s="1" customFormat="1" ht="68" customHeight="1" spans="1:20">
      <c r="A124" s="17">
        <f t="shared" si="15"/>
        <v>119</v>
      </c>
      <c r="B124" s="17" t="s">
        <v>13</v>
      </c>
      <c r="C124" s="19" t="s">
        <v>15</v>
      </c>
      <c r="D124" s="19" t="s">
        <v>18</v>
      </c>
      <c r="E124" s="16" t="s">
        <v>613</v>
      </c>
      <c r="F124" s="18" t="s">
        <v>614</v>
      </c>
      <c r="G124" s="16" t="s">
        <v>173</v>
      </c>
      <c r="H124" s="20" t="s">
        <v>179</v>
      </c>
      <c r="I124" s="16">
        <f t="shared" si="12"/>
        <v>20</v>
      </c>
      <c r="J124" s="16">
        <v>20</v>
      </c>
      <c r="K124" s="16"/>
      <c r="L124" s="16" t="s">
        <v>139</v>
      </c>
      <c r="M124" s="16">
        <v>403</v>
      </c>
      <c r="N124" s="16">
        <v>1039</v>
      </c>
      <c r="O124" s="16">
        <v>13</v>
      </c>
      <c r="P124" s="20">
        <v>23</v>
      </c>
      <c r="Q124" s="18" t="s">
        <v>615</v>
      </c>
      <c r="R124" s="17" t="s">
        <v>173</v>
      </c>
      <c r="S124" s="17" t="s">
        <v>142</v>
      </c>
      <c r="T124" s="17"/>
    </row>
    <row r="125" s="1" customFormat="1" ht="104" customHeight="1" spans="1:20">
      <c r="A125" s="17">
        <f t="shared" si="15"/>
        <v>120</v>
      </c>
      <c r="B125" s="17" t="s">
        <v>13</v>
      </c>
      <c r="C125" s="19" t="s">
        <v>15</v>
      </c>
      <c r="D125" s="19" t="s">
        <v>18</v>
      </c>
      <c r="E125" s="16" t="s">
        <v>616</v>
      </c>
      <c r="F125" s="18" t="s">
        <v>617</v>
      </c>
      <c r="G125" s="16" t="s">
        <v>183</v>
      </c>
      <c r="H125" s="20" t="s">
        <v>189</v>
      </c>
      <c r="I125" s="16">
        <f t="shared" si="12"/>
        <v>15</v>
      </c>
      <c r="J125" s="16">
        <v>15</v>
      </c>
      <c r="K125" s="16"/>
      <c r="L125" s="16" t="s">
        <v>139</v>
      </c>
      <c r="M125" s="16">
        <v>287</v>
      </c>
      <c r="N125" s="16">
        <v>936</v>
      </c>
      <c r="O125" s="16">
        <v>16</v>
      </c>
      <c r="P125" s="20">
        <v>46</v>
      </c>
      <c r="Q125" s="18" t="s">
        <v>618</v>
      </c>
      <c r="R125" s="17" t="s">
        <v>183</v>
      </c>
      <c r="S125" s="17" t="s">
        <v>142</v>
      </c>
      <c r="T125" s="17" t="s">
        <v>186</v>
      </c>
    </row>
    <row r="126" s="1" customFormat="1" ht="80" customHeight="1" spans="1:20">
      <c r="A126" s="17">
        <f t="shared" si="15"/>
        <v>121</v>
      </c>
      <c r="B126" s="17" t="s">
        <v>13</v>
      </c>
      <c r="C126" s="19" t="s">
        <v>15</v>
      </c>
      <c r="D126" s="19" t="s">
        <v>18</v>
      </c>
      <c r="E126" s="16" t="s">
        <v>619</v>
      </c>
      <c r="F126" s="18" t="s">
        <v>620</v>
      </c>
      <c r="G126" s="16" t="s">
        <v>207</v>
      </c>
      <c r="H126" s="20" t="s">
        <v>584</v>
      </c>
      <c r="I126" s="16">
        <f t="shared" si="12"/>
        <v>200</v>
      </c>
      <c r="J126" s="16">
        <v>200</v>
      </c>
      <c r="K126" s="16"/>
      <c r="L126" s="16" t="s">
        <v>139</v>
      </c>
      <c r="M126" s="16">
        <v>4129</v>
      </c>
      <c r="N126" s="16">
        <v>10890</v>
      </c>
      <c r="O126" s="16">
        <v>176</v>
      </c>
      <c r="P126" s="20">
        <v>332</v>
      </c>
      <c r="Q126" s="18" t="s">
        <v>621</v>
      </c>
      <c r="R126" s="17" t="s">
        <v>210</v>
      </c>
      <c r="S126" s="17" t="s">
        <v>142</v>
      </c>
      <c r="T126" s="17" t="s">
        <v>433</v>
      </c>
    </row>
    <row r="127" s="1" customFormat="1" ht="98" customHeight="1" spans="1:20">
      <c r="A127" s="17">
        <f t="shared" ref="A127:A136" si="16">ROW()-5</f>
        <v>122</v>
      </c>
      <c r="B127" s="17" t="s">
        <v>13</v>
      </c>
      <c r="C127" s="19" t="s">
        <v>15</v>
      </c>
      <c r="D127" s="19" t="s">
        <v>18</v>
      </c>
      <c r="E127" s="16" t="s">
        <v>622</v>
      </c>
      <c r="F127" s="18" t="s">
        <v>623</v>
      </c>
      <c r="G127" s="16" t="s">
        <v>247</v>
      </c>
      <c r="H127" s="20" t="s">
        <v>624</v>
      </c>
      <c r="I127" s="16">
        <f t="shared" si="12"/>
        <v>291</v>
      </c>
      <c r="J127" s="16">
        <v>243</v>
      </c>
      <c r="K127" s="16">
        <v>48</v>
      </c>
      <c r="L127" s="16" t="s">
        <v>139</v>
      </c>
      <c r="M127" s="16">
        <v>473</v>
      </c>
      <c r="N127" s="16">
        <v>1394</v>
      </c>
      <c r="O127" s="16">
        <v>8</v>
      </c>
      <c r="P127" s="20">
        <v>14</v>
      </c>
      <c r="Q127" s="18" t="s">
        <v>625</v>
      </c>
      <c r="R127" s="17" t="s">
        <v>250</v>
      </c>
      <c r="S127" s="17" t="s">
        <v>142</v>
      </c>
      <c r="T127" s="17" t="s">
        <v>176</v>
      </c>
    </row>
    <row r="128" s="1" customFormat="1" ht="143" customHeight="1" spans="1:20">
      <c r="A128" s="17">
        <f t="shared" si="16"/>
        <v>123</v>
      </c>
      <c r="B128" s="17" t="s">
        <v>13</v>
      </c>
      <c r="C128" s="19" t="s">
        <v>15</v>
      </c>
      <c r="D128" s="19" t="s">
        <v>18</v>
      </c>
      <c r="E128" s="16" t="s">
        <v>626</v>
      </c>
      <c r="F128" s="18" t="s">
        <v>627</v>
      </c>
      <c r="G128" s="16" t="s">
        <v>257</v>
      </c>
      <c r="H128" s="20" t="s">
        <v>266</v>
      </c>
      <c r="I128" s="16">
        <f t="shared" si="12"/>
        <v>316</v>
      </c>
      <c r="J128" s="16">
        <v>210</v>
      </c>
      <c r="K128" s="16">
        <v>106</v>
      </c>
      <c r="L128" s="16" t="s">
        <v>139</v>
      </c>
      <c r="M128" s="16">
        <v>68</v>
      </c>
      <c r="N128" s="16">
        <v>194</v>
      </c>
      <c r="O128" s="16">
        <v>7</v>
      </c>
      <c r="P128" s="20">
        <v>11</v>
      </c>
      <c r="Q128" s="18" t="s">
        <v>628</v>
      </c>
      <c r="R128" s="17" t="s">
        <v>260</v>
      </c>
      <c r="S128" s="17" t="s">
        <v>142</v>
      </c>
      <c r="T128" s="17"/>
    </row>
    <row r="129" s="1" customFormat="1" ht="87" spans="1:20">
      <c r="A129" s="17">
        <f t="shared" si="16"/>
        <v>124</v>
      </c>
      <c r="B129" s="17" t="s">
        <v>13</v>
      </c>
      <c r="C129" s="19" t="s">
        <v>15</v>
      </c>
      <c r="D129" s="19" t="s">
        <v>18</v>
      </c>
      <c r="E129" s="16" t="s">
        <v>629</v>
      </c>
      <c r="F129" s="18" t="s">
        <v>630</v>
      </c>
      <c r="G129" s="16" t="s">
        <v>173</v>
      </c>
      <c r="H129" s="20" t="s">
        <v>174</v>
      </c>
      <c r="I129" s="16">
        <f t="shared" si="12"/>
        <v>50</v>
      </c>
      <c r="J129" s="16">
        <v>50</v>
      </c>
      <c r="K129" s="16"/>
      <c r="L129" s="16" t="s">
        <v>139</v>
      </c>
      <c r="M129" s="16">
        <v>443</v>
      </c>
      <c r="N129" s="16">
        <v>1123</v>
      </c>
      <c r="O129" s="16">
        <v>10</v>
      </c>
      <c r="P129" s="20">
        <v>19</v>
      </c>
      <c r="Q129" s="18" t="s">
        <v>631</v>
      </c>
      <c r="R129" s="17" t="s">
        <v>173</v>
      </c>
      <c r="S129" s="17" t="s">
        <v>142</v>
      </c>
      <c r="T129" s="17" t="s">
        <v>176</v>
      </c>
    </row>
    <row r="130" s="1" customFormat="1" ht="87" spans="1:20">
      <c r="A130" s="17">
        <f t="shared" si="16"/>
        <v>125</v>
      </c>
      <c r="B130" s="17" t="s">
        <v>13</v>
      </c>
      <c r="C130" s="19" t="s">
        <v>15</v>
      </c>
      <c r="D130" s="19" t="s">
        <v>18</v>
      </c>
      <c r="E130" s="16" t="s">
        <v>632</v>
      </c>
      <c r="F130" s="18" t="s">
        <v>633</v>
      </c>
      <c r="G130" s="16" t="s">
        <v>311</v>
      </c>
      <c r="H130" s="20" t="s">
        <v>312</v>
      </c>
      <c r="I130" s="16">
        <f t="shared" si="12"/>
        <v>200</v>
      </c>
      <c r="J130" s="16">
        <v>200</v>
      </c>
      <c r="K130" s="16"/>
      <c r="L130" s="16" t="s">
        <v>139</v>
      </c>
      <c r="M130" s="16">
        <v>560</v>
      </c>
      <c r="N130" s="16">
        <v>1736</v>
      </c>
      <c r="O130" s="16">
        <v>39</v>
      </c>
      <c r="P130" s="20">
        <v>85</v>
      </c>
      <c r="Q130" s="18" t="s">
        <v>634</v>
      </c>
      <c r="R130" s="17" t="s">
        <v>311</v>
      </c>
      <c r="S130" s="17" t="s">
        <v>142</v>
      </c>
      <c r="T130" s="17"/>
    </row>
    <row r="131" s="1" customFormat="1" ht="69.6" spans="1:20">
      <c r="A131" s="17">
        <f t="shared" si="16"/>
        <v>126</v>
      </c>
      <c r="B131" s="17" t="s">
        <v>13</v>
      </c>
      <c r="C131" s="19" t="s">
        <v>15</v>
      </c>
      <c r="D131" s="19" t="s">
        <v>18</v>
      </c>
      <c r="E131" s="16" t="s">
        <v>635</v>
      </c>
      <c r="F131" s="18" t="s">
        <v>636</v>
      </c>
      <c r="G131" s="16" t="s">
        <v>362</v>
      </c>
      <c r="H131" s="20" t="s">
        <v>637</v>
      </c>
      <c r="I131" s="16">
        <f t="shared" si="12"/>
        <v>21</v>
      </c>
      <c r="J131" s="16">
        <v>21</v>
      </c>
      <c r="K131" s="16"/>
      <c r="L131" s="16" t="s">
        <v>139</v>
      </c>
      <c r="M131" s="16">
        <v>318</v>
      </c>
      <c r="N131" s="16">
        <v>815</v>
      </c>
      <c r="O131" s="16">
        <v>11</v>
      </c>
      <c r="P131" s="20">
        <v>23</v>
      </c>
      <c r="Q131" s="18" t="s">
        <v>638</v>
      </c>
      <c r="R131" s="17" t="s">
        <v>365</v>
      </c>
      <c r="S131" s="17" t="s">
        <v>142</v>
      </c>
      <c r="T131" s="17"/>
    </row>
    <row r="132" s="1" customFormat="1" ht="87" spans="1:20">
      <c r="A132" s="17">
        <f t="shared" si="16"/>
        <v>127</v>
      </c>
      <c r="B132" s="17" t="s">
        <v>13</v>
      </c>
      <c r="C132" s="19" t="s">
        <v>15</v>
      </c>
      <c r="D132" s="19" t="s">
        <v>18</v>
      </c>
      <c r="E132" s="16" t="s">
        <v>639</v>
      </c>
      <c r="F132" s="18" t="s">
        <v>640</v>
      </c>
      <c r="G132" s="16" t="s">
        <v>232</v>
      </c>
      <c r="H132" s="20" t="s">
        <v>641</v>
      </c>
      <c r="I132" s="16">
        <f t="shared" si="12"/>
        <v>84</v>
      </c>
      <c r="J132" s="16">
        <v>84</v>
      </c>
      <c r="K132" s="16"/>
      <c r="L132" s="16" t="s">
        <v>139</v>
      </c>
      <c r="M132" s="16">
        <v>596</v>
      </c>
      <c r="N132" s="16">
        <v>1498</v>
      </c>
      <c r="O132" s="16">
        <v>34</v>
      </c>
      <c r="P132" s="20">
        <v>71</v>
      </c>
      <c r="Q132" s="18" t="s">
        <v>642</v>
      </c>
      <c r="R132" s="17" t="s">
        <v>240</v>
      </c>
      <c r="S132" s="17" t="s">
        <v>142</v>
      </c>
      <c r="T132" s="17"/>
    </row>
    <row r="133" ht="52.2" spans="1:20">
      <c r="A133" s="17">
        <f t="shared" si="16"/>
        <v>128</v>
      </c>
      <c r="B133" s="17" t="s">
        <v>13</v>
      </c>
      <c r="C133" s="17" t="s">
        <v>15</v>
      </c>
      <c r="D133" s="17" t="s">
        <v>18</v>
      </c>
      <c r="E133" s="17" t="s">
        <v>643</v>
      </c>
      <c r="F133" s="21" t="s">
        <v>644</v>
      </c>
      <c r="G133" s="17" t="s">
        <v>362</v>
      </c>
      <c r="H133" s="17" t="s">
        <v>637</v>
      </c>
      <c r="I133" s="16">
        <f t="shared" si="12"/>
        <v>30</v>
      </c>
      <c r="J133" s="17">
        <v>30</v>
      </c>
      <c r="K133" s="17"/>
      <c r="L133" s="17" t="s">
        <v>139</v>
      </c>
      <c r="M133" s="17">
        <v>318</v>
      </c>
      <c r="N133" s="17">
        <v>815</v>
      </c>
      <c r="O133" s="17">
        <v>11</v>
      </c>
      <c r="P133" s="19">
        <v>23</v>
      </c>
      <c r="Q133" s="21" t="s">
        <v>645</v>
      </c>
      <c r="R133" s="17" t="s">
        <v>365</v>
      </c>
      <c r="S133" s="17" t="s">
        <v>142</v>
      </c>
      <c r="T133" s="17"/>
    </row>
    <row r="134" ht="87" spans="1:20">
      <c r="A134" s="17">
        <f t="shared" si="16"/>
        <v>129</v>
      </c>
      <c r="B134" s="17" t="s">
        <v>13</v>
      </c>
      <c r="C134" s="17" t="s">
        <v>15</v>
      </c>
      <c r="D134" s="17" t="s">
        <v>21</v>
      </c>
      <c r="E134" s="17" t="s">
        <v>646</v>
      </c>
      <c r="F134" s="21" t="s">
        <v>647</v>
      </c>
      <c r="G134" s="17" t="s">
        <v>173</v>
      </c>
      <c r="H134" s="19" t="s">
        <v>179</v>
      </c>
      <c r="I134" s="16">
        <f t="shared" si="12"/>
        <v>30</v>
      </c>
      <c r="J134" s="17">
        <v>30</v>
      </c>
      <c r="K134" s="17"/>
      <c r="L134" s="17" t="s">
        <v>139</v>
      </c>
      <c r="M134" s="17">
        <v>403</v>
      </c>
      <c r="N134" s="17">
        <v>1036</v>
      </c>
      <c r="O134" s="17">
        <v>13</v>
      </c>
      <c r="P134" s="17">
        <v>23</v>
      </c>
      <c r="Q134" s="21" t="s">
        <v>648</v>
      </c>
      <c r="R134" s="17" t="s">
        <v>173</v>
      </c>
      <c r="S134" s="17" t="s">
        <v>142</v>
      </c>
      <c r="T134" s="17"/>
    </row>
    <row r="135" ht="122" customHeight="1" spans="1:20">
      <c r="A135" s="17">
        <f t="shared" si="16"/>
        <v>130</v>
      </c>
      <c r="B135" s="17" t="s">
        <v>13</v>
      </c>
      <c r="C135" s="17" t="s">
        <v>15</v>
      </c>
      <c r="D135" s="17" t="s">
        <v>21</v>
      </c>
      <c r="E135" s="17" t="s">
        <v>649</v>
      </c>
      <c r="F135" s="21" t="s">
        <v>650</v>
      </c>
      <c r="G135" s="17" t="s">
        <v>173</v>
      </c>
      <c r="H135" s="19" t="s">
        <v>179</v>
      </c>
      <c r="I135" s="16">
        <f t="shared" si="12"/>
        <v>60</v>
      </c>
      <c r="J135" s="17">
        <v>60</v>
      </c>
      <c r="K135" s="17"/>
      <c r="L135" s="17" t="s">
        <v>139</v>
      </c>
      <c r="M135" s="17">
        <v>403</v>
      </c>
      <c r="N135" s="17">
        <v>1036</v>
      </c>
      <c r="O135" s="17">
        <v>13</v>
      </c>
      <c r="P135" s="17">
        <v>23</v>
      </c>
      <c r="Q135" s="21" t="s">
        <v>651</v>
      </c>
      <c r="R135" s="17" t="s">
        <v>173</v>
      </c>
      <c r="S135" s="17" t="s">
        <v>142</v>
      </c>
      <c r="T135" s="17"/>
    </row>
    <row r="136" ht="88" customHeight="1" spans="1:20">
      <c r="A136" s="17">
        <f t="shared" si="16"/>
        <v>131</v>
      </c>
      <c r="B136" s="17" t="s">
        <v>13</v>
      </c>
      <c r="C136" s="17" t="s">
        <v>15</v>
      </c>
      <c r="D136" s="17" t="s">
        <v>21</v>
      </c>
      <c r="E136" s="17" t="s">
        <v>652</v>
      </c>
      <c r="F136" s="21" t="s">
        <v>653</v>
      </c>
      <c r="G136" s="17" t="s">
        <v>173</v>
      </c>
      <c r="H136" s="17" t="s">
        <v>179</v>
      </c>
      <c r="I136" s="16">
        <f t="shared" si="12"/>
        <v>150</v>
      </c>
      <c r="J136" s="17">
        <v>150</v>
      </c>
      <c r="K136" s="17"/>
      <c r="L136" s="17" t="s">
        <v>139</v>
      </c>
      <c r="M136" s="17">
        <v>403</v>
      </c>
      <c r="N136" s="17">
        <v>1036</v>
      </c>
      <c r="O136" s="17">
        <v>13</v>
      </c>
      <c r="P136" s="17">
        <v>23</v>
      </c>
      <c r="Q136" s="21" t="s">
        <v>654</v>
      </c>
      <c r="R136" s="17" t="s">
        <v>173</v>
      </c>
      <c r="S136" s="17" t="s">
        <v>142</v>
      </c>
      <c r="T136" s="17"/>
    </row>
    <row r="137" ht="151" customHeight="1" spans="1:20">
      <c r="A137" s="17">
        <f t="shared" ref="A137:A146" si="17">ROW()-5</f>
        <v>132</v>
      </c>
      <c r="B137" s="17" t="s">
        <v>13</v>
      </c>
      <c r="C137" s="17" t="s">
        <v>15</v>
      </c>
      <c r="D137" s="17" t="s">
        <v>21</v>
      </c>
      <c r="E137" s="17" t="s">
        <v>655</v>
      </c>
      <c r="F137" s="21" t="s">
        <v>656</v>
      </c>
      <c r="G137" s="17" t="s">
        <v>173</v>
      </c>
      <c r="H137" s="17" t="s">
        <v>179</v>
      </c>
      <c r="I137" s="16">
        <f t="shared" si="12"/>
        <v>210</v>
      </c>
      <c r="J137" s="17">
        <v>210</v>
      </c>
      <c r="K137" s="17"/>
      <c r="L137" s="17" t="s">
        <v>139</v>
      </c>
      <c r="M137" s="17">
        <v>403</v>
      </c>
      <c r="N137" s="17">
        <v>1036</v>
      </c>
      <c r="O137" s="17">
        <v>13</v>
      </c>
      <c r="P137" s="17">
        <v>23</v>
      </c>
      <c r="Q137" s="21" t="s">
        <v>657</v>
      </c>
      <c r="R137" s="17" t="s">
        <v>173</v>
      </c>
      <c r="S137" s="17" t="s">
        <v>142</v>
      </c>
      <c r="T137" s="17"/>
    </row>
    <row r="138" customFormat="1" ht="151" customHeight="1" spans="1:20">
      <c r="A138" s="17">
        <f t="shared" si="17"/>
        <v>133</v>
      </c>
      <c r="B138" s="17" t="s">
        <v>13</v>
      </c>
      <c r="C138" s="26" t="s">
        <v>15</v>
      </c>
      <c r="D138" s="17" t="s">
        <v>21</v>
      </c>
      <c r="E138" s="27" t="s">
        <v>658</v>
      </c>
      <c r="F138" s="28" t="s">
        <v>659</v>
      </c>
      <c r="G138" s="27" t="s">
        <v>173</v>
      </c>
      <c r="H138" s="27" t="s">
        <v>174</v>
      </c>
      <c r="I138" s="16">
        <f t="shared" si="12"/>
        <v>50</v>
      </c>
      <c r="J138" s="27">
        <v>50</v>
      </c>
      <c r="K138" s="27"/>
      <c r="L138" s="27"/>
      <c r="M138" s="17">
        <v>443</v>
      </c>
      <c r="N138" s="17">
        <v>1123</v>
      </c>
      <c r="O138" s="17">
        <v>9</v>
      </c>
      <c r="P138" s="17">
        <v>18</v>
      </c>
      <c r="Q138" s="17" t="s">
        <v>660</v>
      </c>
      <c r="R138" s="17" t="s">
        <v>173</v>
      </c>
      <c r="S138" s="17" t="s">
        <v>142</v>
      </c>
      <c r="T138" s="17" t="s">
        <v>176</v>
      </c>
    </row>
    <row r="139" s="1" customFormat="1" ht="102" customHeight="1" spans="1:20">
      <c r="A139" s="17">
        <f t="shared" si="17"/>
        <v>134</v>
      </c>
      <c r="B139" s="17" t="s">
        <v>13</v>
      </c>
      <c r="C139" s="19" t="s">
        <v>15</v>
      </c>
      <c r="D139" s="19" t="s">
        <v>22</v>
      </c>
      <c r="E139" s="16" t="s">
        <v>661</v>
      </c>
      <c r="F139" s="18" t="s">
        <v>662</v>
      </c>
      <c r="G139" s="16" t="s">
        <v>429</v>
      </c>
      <c r="H139" s="20" t="s">
        <v>663</v>
      </c>
      <c r="I139" s="16">
        <f t="shared" si="12"/>
        <v>100</v>
      </c>
      <c r="J139" s="16">
        <v>100</v>
      </c>
      <c r="K139" s="16"/>
      <c r="L139" s="16" t="s">
        <v>139</v>
      </c>
      <c r="M139" s="16">
        <v>444</v>
      </c>
      <c r="N139" s="16">
        <v>1019</v>
      </c>
      <c r="O139" s="16">
        <v>11</v>
      </c>
      <c r="P139" s="20">
        <v>27</v>
      </c>
      <c r="Q139" s="18" t="s">
        <v>664</v>
      </c>
      <c r="R139" s="17" t="s">
        <v>432</v>
      </c>
      <c r="S139" s="17" t="s">
        <v>142</v>
      </c>
      <c r="T139" s="17" t="s">
        <v>176</v>
      </c>
    </row>
    <row r="140" s="1" customFormat="1" ht="158" customHeight="1" spans="1:20">
      <c r="A140" s="17">
        <f t="shared" si="17"/>
        <v>135</v>
      </c>
      <c r="B140" s="17" t="s">
        <v>13</v>
      </c>
      <c r="C140" s="19" t="s">
        <v>15</v>
      </c>
      <c r="D140" s="19" t="s">
        <v>22</v>
      </c>
      <c r="E140" s="16" t="s">
        <v>665</v>
      </c>
      <c r="F140" s="18" t="s">
        <v>666</v>
      </c>
      <c r="G140" s="16" t="s">
        <v>137</v>
      </c>
      <c r="H140" s="20" t="s">
        <v>667</v>
      </c>
      <c r="I140" s="16">
        <f t="shared" ref="I139:I203" si="18">J140+K140</f>
        <v>210</v>
      </c>
      <c r="J140" s="16">
        <v>210</v>
      </c>
      <c r="K140" s="16"/>
      <c r="L140" s="16" t="s">
        <v>139</v>
      </c>
      <c r="M140" s="16">
        <v>568</v>
      </c>
      <c r="N140" s="16">
        <v>1421</v>
      </c>
      <c r="O140" s="16">
        <v>51</v>
      </c>
      <c r="P140" s="20">
        <v>111</v>
      </c>
      <c r="Q140" s="18" t="s">
        <v>668</v>
      </c>
      <c r="R140" s="17" t="s">
        <v>141</v>
      </c>
      <c r="S140" s="17" t="s">
        <v>142</v>
      </c>
      <c r="T140" s="17"/>
    </row>
    <row r="141" s="1" customFormat="1" ht="87" spans="1:20">
      <c r="A141" s="17">
        <f t="shared" si="17"/>
        <v>136</v>
      </c>
      <c r="B141" s="17" t="s">
        <v>13</v>
      </c>
      <c r="C141" s="19" t="s">
        <v>15</v>
      </c>
      <c r="D141" s="19" t="s">
        <v>22</v>
      </c>
      <c r="E141" s="16" t="s">
        <v>669</v>
      </c>
      <c r="F141" s="18" t="s">
        <v>670</v>
      </c>
      <c r="G141" s="16" t="s">
        <v>194</v>
      </c>
      <c r="H141" s="20" t="s">
        <v>671</v>
      </c>
      <c r="I141" s="16">
        <f t="shared" si="18"/>
        <v>1000</v>
      </c>
      <c r="J141" s="16">
        <v>1000</v>
      </c>
      <c r="K141" s="16"/>
      <c r="L141" s="16" t="s">
        <v>139</v>
      </c>
      <c r="M141" s="16">
        <v>708</v>
      </c>
      <c r="N141" s="16">
        <v>1756</v>
      </c>
      <c r="O141" s="16">
        <v>34</v>
      </c>
      <c r="P141" s="20">
        <v>70</v>
      </c>
      <c r="Q141" s="18" t="s">
        <v>672</v>
      </c>
      <c r="R141" s="17" t="s">
        <v>194</v>
      </c>
      <c r="S141" s="17" t="s">
        <v>142</v>
      </c>
      <c r="T141" s="17"/>
    </row>
    <row r="142" s="1" customFormat="1" ht="69.6" spans="1:20">
      <c r="A142" s="17">
        <f t="shared" si="17"/>
        <v>137</v>
      </c>
      <c r="B142" s="17" t="s">
        <v>13</v>
      </c>
      <c r="C142" s="19" t="s">
        <v>15</v>
      </c>
      <c r="D142" s="19" t="s">
        <v>22</v>
      </c>
      <c r="E142" s="16" t="s">
        <v>673</v>
      </c>
      <c r="F142" s="18" t="s">
        <v>674</v>
      </c>
      <c r="G142" s="16" t="s">
        <v>194</v>
      </c>
      <c r="H142" s="20" t="s">
        <v>675</v>
      </c>
      <c r="I142" s="16">
        <f t="shared" si="18"/>
        <v>99.8</v>
      </c>
      <c r="J142" s="16">
        <v>99.8</v>
      </c>
      <c r="K142" s="16"/>
      <c r="L142" s="16" t="s">
        <v>139</v>
      </c>
      <c r="M142" s="16">
        <v>483</v>
      </c>
      <c r="N142" s="16">
        <v>1238</v>
      </c>
      <c r="O142" s="16">
        <v>20</v>
      </c>
      <c r="P142" s="20">
        <v>36</v>
      </c>
      <c r="Q142" s="18" t="s">
        <v>676</v>
      </c>
      <c r="R142" s="17" t="s">
        <v>194</v>
      </c>
      <c r="S142" s="17" t="s">
        <v>142</v>
      </c>
      <c r="T142" s="17"/>
    </row>
    <row r="143" s="1" customFormat="1" ht="141" customHeight="1" spans="1:20">
      <c r="A143" s="17">
        <f t="shared" si="17"/>
        <v>138</v>
      </c>
      <c r="B143" s="17" t="s">
        <v>13</v>
      </c>
      <c r="C143" s="19" t="s">
        <v>15</v>
      </c>
      <c r="D143" s="19" t="s">
        <v>22</v>
      </c>
      <c r="E143" s="16" t="s">
        <v>677</v>
      </c>
      <c r="F143" s="18" t="s">
        <v>678</v>
      </c>
      <c r="G143" s="16" t="s">
        <v>183</v>
      </c>
      <c r="H143" s="20" t="s">
        <v>679</v>
      </c>
      <c r="I143" s="16">
        <f t="shared" si="18"/>
        <v>240</v>
      </c>
      <c r="J143" s="16">
        <v>240</v>
      </c>
      <c r="K143" s="16"/>
      <c r="L143" s="16" t="s">
        <v>139</v>
      </c>
      <c r="M143" s="16">
        <v>1828</v>
      </c>
      <c r="N143" s="16">
        <v>4933</v>
      </c>
      <c r="O143" s="16">
        <v>100</v>
      </c>
      <c r="P143" s="20">
        <v>236</v>
      </c>
      <c r="Q143" s="18" t="s">
        <v>680</v>
      </c>
      <c r="R143" s="17" t="s">
        <v>183</v>
      </c>
      <c r="S143" s="17" t="s">
        <v>142</v>
      </c>
      <c r="T143" s="17"/>
    </row>
    <row r="144" s="1" customFormat="1" ht="104.4" spans="1:20">
      <c r="A144" s="17">
        <f t="shared" si="17"/>
        <v>139</v>
      </c>
      <c r="B144" s="17" t="s">
        <v>13</v>
      </c>
      <c r="C144" s="19" t="s">
        <v>15</v>
      </c>
      <c r="D144" s="19" t="s">
        <v>22</v>
      </c>
      <c r="E144" s="16" t="s">
        <v>681</v>
      </c>
      <c r="F144" s="18" t="s">
        <v>682</v>
      </c>
      <c r="G144" s="16" t="s">
        <v>207</v>
      </c>
      <c r="H144" s="20" t="s">
        <v>683</v>
      </c>
      <c r="I144" s="16">
        <f t="shared" si="18"/>
        <v>45.38</v>
      </c>
      <c r="J144" s="16">
        <v>45.38</v>
      </c>
      <c r="K144" s="16"/>
      <c r="L144" s="16" t="s">
        <v>139</v>
      </c>
      <c r="M144" s="16">
        <v>562</v>
      </c>
      <c r="N144" s="16">
        <v>1437</v>
      </c>
      <c r="O144" s="16">
        <v>23</v>
      </c>
      <c r="P144" s="20">
        <v>37</v>
      </c>
      <c r="Q144" s="18" t="s">
        <v>684</v>
      </c>
      <c r="R144" s="17" t="s">
        <v>210</v>
      </c>
      <c r="S144" s="17" t="s">
        <v>142</v>
      </c>
      <c r="T144" s="17" t="s">
        <v>176</v>
      </c>
    </row>
    <row r="145" s="1" customFormat="1" ht="81" customHeight="1" spans="1:20">
      <c r="A145" s="17">
        <f t="shared" si="17"/>
        <v>140</v>
      </c>
      <c r="B145" s="17" t="s">
        <v>13</v>
      </c>
      <c r="C145" s="19" t="s">
        <v>15</v>
      </c>
      <c r="D145" s="19" t="s">
        <v>22</v>
      </c>
      <c r="E145" s="16" t="s">
        <v>685</v>
      </c>
      <c r="F145" s="18" t="s">
        <v>686</v>
      </c>
      <c r="G145" s="16" t="s">
        <v>207</v>
      </c>
      <c r="H145" s="20" t="s">
        <v>683</v>
      </c>
      <c r="I145" s="16">
        <f t="shared" si="18"/>
        <v>26.56</v>
      </c>
      <c r="J145" s="16">
        <v>26.56</v>
      </c>
      <c r="K145" s="16"/>
      <c r="L145" s="16" t="s">
        <v>139</v>
      </c>
      <c r="M145" s="16">
        <v>562</v>
      </c>
      <c r="N145" s="16">
        <v>1437</v>
      </c>
      <c r="O145" s="16">
        <v>23</v>
      </c>
      <c r="P145" s="20">
        <v>37</v>
      </c>
      <c r="Q145" s="18" t="s">
        <v>687</v>
      </c>
      <c r="R145" s="17" t="s">
        <v>210</v>
      </c>
      <c r="S145" s="17" t="s">
        <v>142</v>
      </c>
      <c r="T145" s="17" t="s">
        <v>176</v>
      </c>
    </row>
    <row r="146" s="1" customFormat="1" ht="129" customHeight="1" spans="1:20">
      <c r="A146" s="17">
        <f t="shared" si="17"/>
        <v>141</v>
      </c>
      <c r="B146" s="17" t="s">
        <v>13</v>
      </c>
      <c r="C146" s="19" t="s">
        <v>15</v>
      </c>
      <c r="D146" s="19" t="s">
        <v>22</v>
      </c>
      <c r="E146" s="16" t="s">
        <v>688</v>
      </c>
      <c r="F146" s="18" t="s">
        <v>689</v>
      </c>
      <c r="G146" s="16" t="s">
        <v>207</v>
      </c>
      <c r="H146" s="20" t="s">
        <v>584</v>
      </c>
      <c r="I146" s="16">
        <f t="shared" si="18"/>
        <v>185</v>
      </c>
      <c r="J146" s="16">
        <v>185</v>
      </c>
      <c r="K146" s="16"/>
      <c r="L146" s="16" t="s">
        <v>139</v>
      </c>
      <c r="M146" s="16">
        <v>367</v>
      </c>
      <c r="N146" s="16">
        <v>940</v>
      </c>
      <c r="O146" s="16">
        <v>24</v>
      </c>
      <c r="P146" s="20">
        <v>43</v>
      </c>
      <c r="Q146" s="18" t="s">
        <v>690</v>
      </c>
      <c r="R146" s="17" t="s">
        <v>210</v>
      </c>
      <c r="S146" s="17" t="s">
        <v>142</v>
      </c>
      <c r="T146" s="17" t="s">
        <v>433</v>
      </c>
    </row>
    <row r="147" s="1" customFormat="1" ht="80" customHeight="1" spans="1:20">
      <c r="A147" s="17">
        <f t="shared" ref="A147:A156" si="19">ROW()-5</f>
        <v>142</v>
      </c>
      <c r="B147" s="17" t="s">
        <v>13</v>
      </c>
      <c r="C147" s="19" t="s">
        <v>15</v>
      </c>
      <c r="D147" s="19" t="s">
        <v>22</v>
      </c>
      <c r="E147" s="16" t="s">
        <v>691</v>
      </c>
      <c r="F147" s="18" t="s">
        <v>692</v>
      </c>
      <c r="G147" s="16" t="s">
        <v>207</v>
      </c>
      <c r="H147" s="20" t="s">
        <v>693</v>
      </c>
      <c r="I147" s="16">
        <f t="shared" si="18"/>
        <v>30.38</v>
      </c>
      <c r="J147" s="16">
        <v>30.38</v>
      </c>
      <c r="K147" s="16"/>
      <c r="L147" s="16" t="s">
        <v>139</v>
      </c>
      <c r="M147" s="16">
        <v>370</v>
      </c>
      <c r="N147" s="16">
        <v>1070</v>
      </c>
      <c r="O147" s="16">
        <v>16</v>
      </c>
      <c r="P147" s="20">
        <v>31</v>
      </c>
      <c r="Q147" s="18" t="s">
        <v>694</v>
      </c>
      <c r="R147" s="17" t="s">
        <v>210</v>
      </c>
      <c r="S147" s="17" t="s">
        <v>142</v>
      </c>
      <c r="T147" s="17"/>
    </row>
    <row r="148" s="1" customFormat="1" ht="99" customHeight="1" spans="1:20">
      <c r="A148" s="17">
        <f t="shared" si="19"/>
        <v>143</v>
      </c>
      <c r="B148" s="17" t="s">
        <v>13</v>
      </c>
      <c r="C148" s="19" t="s">
        <v>15</v>
      </c>
      <c r="D148" s="19" t="s">
        <v>22</v>
      </c>
      <c r="E148" s="16" t="s">
        <v>695</v>
      </c>
      <c r="F148" s="18" t="s">
        <v>696</v>
      </c>
      <c r="G148" s="16" t="s">
        <v>213</v>
      </c>
      <c r="H148" s="20" t="s">
        <v>554</v>
      </c>
      <c r="I148" s="16">
        <f t="shared" si="18"/>
        <v>65.5</v>
      </c>
      <c r="J148" s="16">
        <v>65.5</v>
      </c>
      <c r="K148" s="16"/>
      <c r="L148" s="16" t="s">
        <v>139</v>
      </c>
      <c r="M148" s="16">
        <v>549</v>
      </c>
      <c r="N148" s="16">
        <v>1482</v>
      </c>
      <c r="O148" s="16">
        <v>45</v>
      </c>
      <c r="P148" s="20">
        <v>106</v>
      </c>
      <c r="Q148" s="18" t="s">
        <v>697</v>
      </c>
      <c r="R148" s="17" t="s">
        <v>216</v>
      </c>
      <c r="S148" s="17" t="s">
        <v>142</v>
      </c>
      <c r="T148" s="17" t="s">
        <v>176</v>
      </c>
    </row>
    <row r="149" s="1" customFormat="1" ht="104.4" spans="1:20">
      <c r="A149" s="17">
        <f t="shared" si="19"/>
        <v>144</v>
      </c>
      <c r="B149" s="17" t="s">
        <v>13</v>
      </c>
      <c r="C149" s="19" t="s">
        <v>15</v>
      </c>
      <c r="D149" s="19" t="s">
        <v>22</v>
      </c>
      <c r="E149" s="16" t="s">
        <v>698</v>
      </c>
      <c r="F149" s="18" t="s">
        <v>699</v>
      </c>
      <c r="G149" s="16" t="s">
        <v>213</v>
      </c>
      <c r="H149" s="20" t="s">
        <v>468</v>
      </c>
      <c r="I149" s="16">
        <f t="shared" si="18"/>
        <v>65.5</v>
      </c>
      <c r="J149" s="16">
        <v>65.5</v>
      </c>
      <c r="K149" s="16"/>
      <c r="L149" s="16" t="s">
        <v>139</v>
      </c>
      <c r="M149" s="16">
        <v>517</v>
      </c>
      <c r="N149" s="16">
        <v>1353</v>
      </c>
      <c r="O149" s="16">
        <v>57</v>
      </c>
      <c r="P149" s="20">
        <v>120</v>
      </c>
      <c r="Q149" s="18" t="s">
        <v>700</v>
      </c>
      <c r="R149" s="17" t="s">
        <v>216</v>
      </c>
      <c r="S149" s="17" t="s">
        <v>142</v>
      </c>
      <c r="T149" s="17" t="s">
        <v>176</v>
      </c>
    </row>
    <row r="150" s="1" customFormat="1" ht="104.4" spans="1:20">
      <c r="A150" s="17">
        <f t="shared" si="19"/>
        <v>145</v>
      </c>
      <c r="B150" s="17" t="s">
        <v>13</v>
      </c>
      <c r="C150" s="19" t="s">
        <v>15</v>
      </c>
      <c r="D150" s="19" t="s">
        <v>22</v>
      </c>
      <c r="E150" s="16" t="s">
        <v>701</v>
      </c>
      <c r="F150" s="18" t="s">
        <v>702</v>
      </c>
      <c r="G150" s="16" t="s">
        <v>571</v>
      </c>
      <c r="H150" s="20" t="s">
        <v>703</v>
      </c>
      <c r="I150" s="16">
        <f t="shared" si="18"/>
        <v>50.37</v>
      </c>
      <c r="J150" s="16">
        <v>50.37</v>
      </c>
      <c r="K150" s="16"/>
      <c r="L150" s="16" t="s">
        <v>139</v>
      </c>
      <c r="M150" s="16">
        <v>584</v>
      </c>
      <c r="N150" s="16">
        <v>1654</v>
      </c>
      <c r="O150" s="16">
        <v>6</v>
      </c>
      <c r="P150" s="20">
        <v>12</v>
      </c>
      <c r="Q150" s="18" t="s">
        <v>704</v>
      </c>
      <c r="R150" s="17" t="s">
        <v>574</v>
      </c>
      <c r="S150" s="17" t="s">
        <v>142</v>
      </c>
      <c r="T150" s="17"/>
    </row>
    <row r="151" s="1" customFormat="1" ht="104.4" spans="1:20">
      <c r="A151" s="17">
        <f t="shared" si="19"/>
        <v>146</v>
      </c>
      <c r="B151" s="17" t="s">
        <v>13</v>
      </c>
      <c r="C151" s="19" t="s">
        <v>15</v>
      </c>
      <c r="D151" s="19" t="s">
        <v>22</v>
      </c>
      <c r="E151" s="16" t="s">
        <v>705</v>
      </c>
      <c r="F151" s="18" t="s">
        <v>706</v>
      </c>
      <c r="G151" s="16" t="s">
        <v>571</v>
      </c>
      <c r="H151" s="20" t="s">
        <v>707</v>
      </c>
      <c r="I151" s="16">
        <f t="shared" si="18"/>
        <v>37.07</v>
      </c>
      <c r="J151" s="16">
        <v>37.07</v>
      </c>
      <c r="K151" s="16"/>
      <c r="L151" s="16" t="s">
        <v>139</v>
      </c>
      <c r="M151" s="16">
        <v>321</v>
      </c>
      <c r="N151" s="16">
        <v>944</v>
      </c>
      <c r="O151" s="16">
        <v>8</v>
      </c>
      <c r="P151" s="20">
        <v>18</v>
      </c>
      <c r="Q151" s="18" t="s">
        <v>708</v>
      </c>
      <c r="R151" s="17" t="s">
        <v>574</v>
      </c>
      <c r="S151" s="17" t="s">
        <v>142</v>
      </c>
      <c r="T151" s="17"/>
    </row>
    <row r="152" s="1" customFormat="1" ht="104.4" spans="1:20">
      <c r="A152" s="17">
        <f t="shared" si="19"/>
        <v>147</v>
      </c>
      <c r="B152" s="17" t="s">
        <v>13</v>
      </c>
      <c r="C152" s="19" t="s">
        <v>15</v>
      </c>
      <c r="D152" s="19" t="s">
        <v>22</v>
      </c>
      <c r="E152" s="16" t="s">
        <v>709</v>
      </c>
      <c r="F152" s="18" t="s">
        <v>710</v>
      </c>
      <c r="G152" s="16" t="s">
        <v>571</v>
      </c>
      <c r="H152" s="20" t="s">
        <v>711</v>
      </c>
      <c r="I152" s="16">
        <f t="shared" si="18"/>
        <v>30.04</v>
      </c>
      <c r="J152" s="16">
        <v>30.04</v>
      </c>
      <c r="K152" s="16"/>
      <c r="L152" s="16" t="s">
        <v>139</v>
      </c>
      <c r="M152" s="16">
        <v>350</v>
      </c>
      <c r="N152" s="16">
        <v>1033</v>
      </c>
      <c r="O152" s="16">
        <v>14</v>
      </c>
      <c r="P152" s="20">
        <v>29</v>
      </c>
      <c r="Q152" s="18" t="s">
        <v>712</v>
      </c>
      <c r="R152" s="17" t="s">
        <v>574</v>
      </c>
      <c r="S152" s="17" t="s">
        <v>142</v>
      </c>
      <c r="T152" s="17"/>
    </row>
    <row r="153" s="1" customFormat="1" ht="104.4" spans="1:20">
      <c r="A153" s="17">
        <f t="shared" si="19"/>
        <v>148</v>
      </c>
      <c r="B153" s="17" t="s">
        <v>13</v>
      </c>
      <c r="C153" s="19" t="s">
        <v>15</v>
      </c>
      <c r="D153" s="19" t="s">
        <v>22</v>
      </c>
      <c r="E153" s="16" t="s">
        <v>713</v>
      </c>
      <c r="F153" s="18" t="s">
        <v>714</v>
      </c>
      <c r="G153" s="16" t="s">
        <v>571</v>
      </c>
      <c r="H153" s="20" t="s">
        <v>715</v>
      </c>
      <c r="I153" s="16">
        <f t="shared" si="18"/>
        <v>63.6</v>
      </c>
      <c r="J153" s="16">
        <v>63.6</v>
      </c>
      <c r="K153" s="16"/>
      <c r="L153" s="16" t="s">
        <v>139</v>
      </c>
      <c r="M153" s="16">
        <v>520</v>
      </c>
      <c r="N153" s="16">
        <v>1566</v>
      </c>
      <c r="O153" s="16">
        <v>67</v>
      </c>
      <c r="P153" s="20">
        <v>158</v>
      </c>
      <c r="Q153" s="18" t="s">
        <v>716</v>
      </c>
      <c r="R153" s="17" t="s">
        <v>574</v>
      </c>
      <c r="S153" s="17" t="s">
        <v>142</v>
      </c>
      <c r="T153" s="17"/>
    </row>
    <row r="154" s="1" customFormat="1" ht="114" customHeight="1" spans="1:20">
      <c r="A154" s="17">
        <f t="shared" si="19"/>
        <v>149</v>
      </c>
      <c r="B154" s="16" t="s">
        <v>13</v>
      </c>
      <c r="C154" s="16" t="s">
        <v>15</v>
      </c>
      <c r="D154" s="16" t="s">
        <v>22</v>
      </c>
      <c r="E154" s="17" t="s">
        <v>717</v>
      </c>
      <c r="F154" s="21" t="s">
        <v>718</v>
      </c>
      <c r="G154" s="17" t="s">
        <v>571</v>
      </c>
      <c r="H154" s="17" t="s">
        <v>719</v>
      </c>
      <c r="I154" s="16">
        <f t="shared" si="18"/>
        <v>50</v>
      </c>
      <c r="J154" s="17">
        <v>50</v>
      </c>
      <c r="K154" s="17"/>
      <c r="L154" s="17" t="s">
        <v>139</v>
      </c>
      <c r="M154" s="17">
        <v>565</v>
      </c>
      <c r="N154" s="17">
        <v>1738</v>
      </c>
      <c r="O154" s="17">
        <v>6</v>
      </c>
      <c r="P154" s="17">
        <v>6</v>
      </c>
      <c r="Q154" s="21" t="s">
        <v>720</v>
      </c>
      <c r="R154" s="17" t="s">
        <v>574</v>
      </c>
      <c r="S154" s="17" t="s">
        <v>142</v>
      </c>
      <c r="T154" s="17" t="s">
        <v>176</v>
      </c>
    </row>
    <row r="155" s="1" customFormat="1" ht="87" spans="1:20">
      <c r="A155" s="17">
        <f t="shared" si="19"/>
        <v>150</v>
      </c>
      <c r="B155" s="17" t="s">
        <v>13</v>
      </c>
      <c r="C155" s="19" t="s">
        <v>15</v>
      </c>
      <c r="D155" s="19" t="s">
        <v>22</v>
      </c>
      <c r="E155" s="16" t="s">
        <v>721</v>
      </c>
      <c r="F155" s="18" t="s">
        <v>722</v>
      </c>
      <c r="G155" s="16" t="s">
        <v>311</v>
      </c>
      <c r="H155" s="20" t="s">
        <v>723</v>
      </c>
      <c r="I155" s="16">
        <f t="shared" si="18"/>
        <v>140</v>
      </c>
      <c r="J155" s="16">
        <v>140</v>
      </c>
      <c r="K155" s="16"/>
      <c r="L155" s="16" t="s">
        <v>139</v>
      </c>
      <c r="M155" s="16">
        <v>565</v>
      </c>
      <c r="N155" s="16">
        <v>1580</v>
      </c>
      <c r="O155" s="16">
        <v>31</v>
      </c>
      <c r="P155" s="20">
        <v>59</v>
      </c>
      <c r="Q155" s="18" t="s">
        <v>724</v>
      </c>
      <c r="R155" s="17" t="s">
        <v>311</v>
      </c>
      <c r="S155" s="17" t="s">
        <v>142</v>
      </c>
      <c r="T155" s="17"/>
    </row>
    <row r="156" s="1" customFormat="1" ht="83" customHeight="1" spans="1:20">
      <c r="A156" s="17">
        <f t="shared" si="19"/>
        <v>151</v>
      </c>
      <c r="B156" s="17" t="s">
        <v>13</v>
      </c>
      <c r="C156" s="19" t="s">
        <v>15</v>
      </c>
      <c r="D156" s="19" t="s">
        <v>22</v>
      </c>
      <c r="E156" s="16" t="s">
        <v>725</v>
      </c>
      <c r="F156" s="18" t="s">
        <v>726</v>
      </c>
      <c r="G156" s="16" t="s">
        <v>311</v>
      </c>
      <c r="H156" s="20" t="s">
        <v>727</v>
      </c>
      <c r="I156" s="16">
        <f t="shared" si="18"/>
        <v>80</v>
      </c>
      <c r="J156" s="16">
        <v>80</v>
      </c>
      <c r="K156" s="16"/>
      <c r="L156" s="16" t="s">
        <v>139</v>
      </c>
      <c r="M156" s="16">
        <v>444</v>
      </c>
      <c r="N156" s="16">
        <v>1240</v>
      </c>
      <c r="O156" s="16">
        <v>17</v>
      </c>
      <c r="P156" s="20">
        <v>38</v>
      </c>
      <c r="Q156" s="18" t="s">
        <v>728</v>
      </c>
      <c r="R156" s="17" t="s">
        <v>311</v>
      </c>
      <c r="S156" s="17" t="s">
        <v>142</v>
      </c>
      <c r="T156" s="17"/>
    </row>
    <row r="157" s="1" customFormat="1" ht="117" customHeight="1" spans="1:20">
      <c r="A157" s="17">
        <f t="shared" ref="A157:A166" si="20">ROW()-5</f>
        <v>152</v>
      </c>
      <c r="B157" s="17" t="s">
        <v>13</v>
      </c>
      <c r="C157" s="19" t="s">
        <v>15</v>
      </c>
      <c r="D157" s="19" t="s">
        <v>22</v>
      </c>
      <c r="E157" s="16" t="s">
        <v>729</v>
      </c>
      <c r="F157" s="18" t="s">
        <v>730</v>
      </c>
      <c r="G157" s="16" t="s">
        <v>591</v>
      </c>
      <c r="H157" s="20" t="s">
        <v>731</v>
      </c>
      <c r="I157" s="16">
        <f t="shared" si="18"/>
        <v>60</v>
      </c>
      <c r="J157" s="16">
        <v>60</v>
      </c>
      <c r="K157" s="16"/>
      <c r="L157" s="16" t="s">
        <v>139</v>
      </c>
      <c r="M157" s="16">
        <v>491</v>
      </c>
      <c r="N157" s="16">
        <v>1475</v>
      </c>
      <c r="O157" s="16">
        <v>10</v>
      </c>
      <c r="P157" s="20">
        <v>22</v>
      </c>
      <c r="Q157" s="18" t="s">
        <v>732</v>
      </c>
      <c r="R157" s="17" t="s">
        <v>594</v>
      </c>
      <c r="S157" s="17" t="s">
        <v>142</v>
      </c>
      <c r="T157" s="17" t="s">
        <v>176</v>
      </c>
    </row>
    <row r="158" s="1" customFormat="1" ht="121.8" spans="1:20">
      <c r="A158" s="17">
        <f t="shared" si="20"/>
        <v>153</v>
      </c>
      <c r="B158" s="17" t="s">
        <v>13</v>
      </c>
      <c r="C158" s="19" t="s">
        <v>15</v>
      </c>
      <c r="D158" s="19" t="s">
        <v>22</v>
      </c>
      <c r="E158" s="16" t="s">
        <v>733</v>
      </c>
      <c r="F158" s="18" t="s">
        <v>734</v>
      </c>
      <c r="G158" s="16" t="s">
        <v>591</v>
      </c>
      <c r="H158" s="20" t="s">
        <v>735</v>
      </c>
      <c r="I158" s="16">
        <f t="shared" si="18"/>
        <v>60</v>
      </c>
      <c r="J158" s="16">
        <v>60</v>
      </c>
      <c r="K158" s="16"/>
      <c r="L158" s="16" t="s">
        <v>139</v>
      </c>
      <c r="M158" s="16">
        <v>495</v>
      </c>
      <c r="N158" s="16">
        <v>1459</v>
      </c>
      <c r="O158" s="16">
        <v>19</v>
      </c>
      <c r="P158" s="20">
        <v>33</v>
      </c>
      <c r="Q158" s="18" t="s">
        <v>736</v>
      </c>
      <c r="R158" s="17" t="s">
        <v>594</v>
      </c>
      <c r="S158" s="17" t="s">
        <v>142</v>
      </c>
      <c r="T158" s="17"/>
    </row>
    <row r="159" s="1" customFormat="1" ht="121.8" spans="1:20">
      <c r="A159" s="17">
        <f t="shared" si="20"/>
        <v>154</v>
      </c>
      <c r="B159" s="17" t="s">
        <v>13</v>
      </c>
      <c r="C159" s="19" t="s">
        <v>15</v>
      </c>
      <c r="D159" s="19" t="s">
        <v>22</v>
      </c>
      <c r="E159" s="16" t="s">
        <v>737</v>
      </c>
      <c r="F159" s="18" t="s">
        <v>738</v>
      </c>
      <c r="G159" s="16" t="s">
        <v>591</v>
      </c>
      <c r="H159" s="20" t="s">
        <v>739</v>
      </c>
      <c r="I159" s="16">
        <f t="shared" si="18"/>
        <v>60</v>
      </c>
      <c r="J159" s="16">
        <v>60</v>
      </c>
      <c r="K159" s="16"/>
      <c r="L159" s="16" t="s">
        <v>139</v>
      </c>
      <c r="M159" s="16">
        <v>662</v>
      </c>
      <c r="N159" s="16">
        <v>1593</v>
      </c>
      <c r="O159" s="16">
        <v>30</v>
      </c>
      <c r="P159" s="20">
        <v>55</v>
      </c>
      <c r="Q159" s="18" t="s">
        <v>740</v>
      </c>
      <c r="R159" s="17" t="s">
        <v>594</v>
      </c>
      <c r="S159" s="17" t="s">
        <v>142</v>
      </c>
      <c r="T159" s="17"/>
    </row>
    <row r="160" s="1" customFormat="1" ht="121.8" spans="1:20">
      <c r="A160" s="17">
        <f t="shared" si="20"/>
        <v>155</v>
      </c>
      <c r="B160" s="17" t="s">
        <v>13</v>
      </c>
      <c r="C160" s="19" t="s">
        <v>15</v>
      </c>
      <c r="D160" s="19" t="s">
        <v>22</v>
      </c>
      <c r="E160" s="16" t="s">
        <v>741</v>
      </c>
      <c r="F160" s="18" t="s">
        <v>742</v>
      </c>
      <c r="G160" s="16" t="s">
        <v>591</v>
      </c>
      <c r="H160" s="20" t="s">
        <v>743</v>
      </c>
      <c r="I160" s="16">
        <f t="shared" si="18"/>
        <v>60</v>
      </c>
      <c r="J160" s="16">
        <v>60</v>
      </c>
      <c r="K160" s="16"/>
      <c r="L160" s="16" t="s">
        <v>139</v>
      </c>
      <c r="M160" s="16">
        <v>272</v>
      </c>
      <c r="N160" s="16">
        <v>779</v>
      </c>
      <c r="O160" s="16">
        <v>3</v>
      </c>
      <c r="P160" s="20">
        <v>6</v>
      </c>
      <c r="Q160" s="18" t="s">
        <v>744</v>
      </c>
      <c r="R160" s="17" t="s">
        <v>594</v>
      </c>
      <c r="S160" s="17" t="s">
        <v>142</v>
      </c>
      <c r="T160" s="17"/>
    </row>
    <row r="161" s="1" customFormat="1" ht="139" customHeight="1" spans="1:20">
      <c r="A161" s="17">
        <f t="shared" si="20"/>
        <v>156</v>
      </c>
      <c r="B161" s="17" t="s">
        <v>13</v>
      </c>
      <c r="C161" s="19" t="s">
        <v>15</v>
      </c>
      <c r="D161" s="19" t="s">
        <v>22</v>
      </c>
      <c r="E161" s="16" t="s">
        <v>745</v>
      </c>
      <c r="F161" s="18" t="s">
        <v>746</v>
      </c>
      <c r="G161" s="16" t="s">
        <v>591</v>
      </c>
      <c r="H161" s="20" t="s">
        <v>592</v>
      </c>
      <c r="I161" s="16">
        <f t="shared" si="18"/>
        <v>60</v>
      </c>
      <c r="J161" s="16">
        <v>60</v>
      </c>
      <c r="K161" s="16"/>
      <c r="L161" s="16" t="s">
        <v>139</v>
      </c>
      <c r="M161" s="16">
        <v>301</v>
      </c>
      <c r="N161" s="16">
        <v>930</v>
      </c>
      <c r="O161" s="16">
        <v>2</v>
      </c>
      <c r="P161" s="20">
        <v>5</v>
      </c>
      <c r="Q161" s="18" t="s">
        <v>747</v>
      </c>
      <c r="R161" s="17" t="s">
        <v>594</v>
      </c>
      <c r="S161" s="17" t="s">
        <v>142</v>
      </c>
      <c r="T161" s="17"/>
    </row>
    <row r="162" s="1" customFormat="1" ht="139" customHeight="1" spans="1:20">
      <c r="A162" s="17">
        <f t="shared" si="20"/>
        <v>157</v>
      </c>
      <c r="B162" s="17" t="s">
        <v>13</v>
      </c>
      <c r="C162" s="19" t="s">
        <v>15</v>
      </c>
      <c r="D162" s="19" t="s">
        <v>22</v>
      </c>
      <c r="E162" s="16" t="s">
        <v>748</v>
      </c>
      <c r="F162" s="18" t="s">
        <v>749</v>
      </c>
      <c r="G162" s="16" t="s">
        <v>591</v>
      </c>
      <c r="H162" s="20" t="s">
        <v>750</v>
      </c>
      <c r="I162" s="16">
        <f t="shared" si="18"/>
        <v>60</v>
      </c>
      <c r="J162" s="16">
        <v>60</v>
      </c>
      <c r="K162" s="16"/>
      <c r="L162" s="16" t="s">
        <v>139</v>
      </c>
      <c r="M162" s="16">
        <v>268</v>
      </c>
      <c r="N162" s="16">
        <v>815</v>
      </c>
      <c r="O162" s="16">
        <v>10</v>
      </c>
      <c r="P162" s="20">
        <v>20</v>
      </c>
      <c r="Q162" s="18" t="s">
        <v>751</v>
      </c>
      <c r="R162" s="17" t="s">
        <v>594</v>
      </c>
      <c r="S162" s="17" t="s">
        <v>142</v>
      </c>
      <c r="T162" s="17"/>
    </row>
    <row r="163" ht="107" customHeight="1" spans="1:20">
      <c r="A163" s="17">
        <f t="shared" si="20"/>
        <v>158</v>
      </c>
      <c r="B163" s="17" t="s">
        <v>13</v>
      </c>
      <c r="C163" s="17" t="s">
        <v>15</v>
      </c>
      <c r="D163" s="17" t="s">
        <v>22</v>
      </c>
      <c r="E163" s="17" t="s">
        <v>752</v>
      </c>
      <c r="F163" s="21" t="s">
        <v>753</v>
      </c>
      <c r="G163" s="17" t="s">
        <v>194</v>
      </c>
      <c r="H163" s="17" t="s">
        <v>195</v>
      </c>
      <c r="I163" s="16">
        <f t="shared" si="18"/>
        <v>99.8</v>
      </c>
      <c r="J163" s="16">
        <v>99.8</v>
      </c>
      <c r="K163" s="16"/>
      <c r="L163" s="17" t="s">
        <v>139</v>
      </c>
      <c r="M163" s="17">
        <v>453</v>
      </c>
      <c r="N163" s="17">
        <v>1121</v>
      </c>
      <c r="O163" s="17">
        <v>15</v>
      </c>
      <c r="P163" s="17">
        <v>34</v>
      </c>
      <c r="Q163" s="21" t="s">
        <v>754</v>
      </c>
      <c r="R163" s="17" t="s">
        <v>194</v>
      </c>
      <c r="S163" s="17" t="s">
        <v>142</v>
      </c>
      <c r="T163" s="17"/>
    </row>
    <row r="164" ht="100" customHeight="1" spans="1:20">
      <c r="A164" s="17">
        <f t="shared" si="20"/>
        <v>159</v>
      </c>
      <c r="B164" s="17" t="s">
        <v>13</v>
      </c>
      <c r="C164" s="17" t="s">
        <v>15</v>
      </c>
      <c r="D164" s="17" t="s">
        <v>22</v>
      </c>
      <c r="E164" s="17" t="s">
        <v>755</v>
      </c>
      <c r="F164" s="21" t="s">
        <v>756</v>
      </c>
      <c r="G164" s="17" t="s">
        <v>194</v>
      </c>
      <c r="H164" s="17" t="s">
        <v>199</v>
      </c>
      <c r="I164" s="16">
        <f t="shared" si="18"/>
        <v>167</v>
      </c>
      <c r="J164" s="16">
        <v>167</v>
      </c>
      <c r="K164" s="16"/>
      <c r="L164" s="17" t="s">
        <v>139</v>
      </c>
      <c r="M164" s="17">
        <v>380</v>
      </c>
      <c r="N164" s="17">
        <v>1020</v>
      </c>
      <c r="O164" s="17">
        <v>17</v>
      </c>
      <c r="P164" s="17">
        <v>30</v>
      </c>
      <c r="Q164" s="21" t="s">
        <v>757</v>
      </c>
      <c r="R164" s="17" t="s">
        <v>194</v>
      </c>
      <c r="S164" s="17" t="s">
        <v>142</v>
      </c>
      <c r="T164" s="17"/>
    </row>
    <row r="165" ht="107" customHeight="1" spans="1:20">
      <c r="A165" s="17">
        <f t="shared" si="20"/>
        <v>160</v>
      </c>
      <c r="B165" s="17" t="s">
        <v>13</v>
      </c>
      <c r="C165" s="17" t="s">
        <v>15</v>
      </c>
      <c r="D165" s="17" t="s">
        <v>22</v>
      </c>
      <c r="E165" s="17" t="s">
        <v>758</v>
      </c>
      <c r="F165" s="21" t="s">
        <v>759</v>
      </c>
      <c r="G165" s="17" t="s">
        <v>194</v>
      </c>
      <c r="H165" s="17" t="s">
        <v>671</v>
      </c>
      <c r="I165" s="16">
        <f t="shared" si="18"/>
        <v>167</v>
      </c>
      <c r="J165" s="16">
        <v>167</v>
      </c>
      <c r="K165" s="16"/>
      <c r="L165" s="17" t="s">
        <v>139</v>
      </c>
      <c r="M165" s="17">
        <v>708</v>
      </c>
      <c r="N165" s="17">
        <v>1756</v>
      </c>
      <c r="O165" s="17">
        <v>34</v>
      </c>
      <c r="P165" s="17">
        <v>70</v>
      </c>
      <c r="Q165" s="21" t="s">
        <v>760</v>
      </c>
      <c r="R165" s="17" t="s">
        <v>194</v>
      </c>
      <c r="S165" s="17" t="s">
        <v>142</v>
      </c>
      <c r="T165" s="17"/>
    </row>
    <row r="166" ht="95" customHeight="1" spans="1:20">
      <c r="A166" s="17">
        <f t="shared" si="20"/>
        <v>161</v>
      </c>
      <c r="B166" s="17" t="s">
        <v>13</v>
      </c>
      <c r="C166" s="17" t="s">
        <v>15</v>
      </c>
      <c r="D166" s="17" t="s">
        <v>22</v>
      </c>
      <c r="E166" s="17" t="s">
        <v>761</v>
      </c>
      <c r="F166" s="21" t="s">
        <v>762</v>
      </c>
      <c r="G166" s="17" t="s">
        <v>194</v>
      </c>
      <c r="H166" s="17" t="s">
        <v>763</v>
      </c>
      <c r="I166" s="16">
        <f t="shared" si="18"/>
        <v>42</v>
      </c>
      <c r="J166" s="16">
        <v>42</v>
      </c>
      <c r="K166" s="16"/>
      <c r="L166" s="17" t="s">
        <v>139</v>
      </c>
      <c r="M166" s="17">
        <v>341</v>
      </c>
      <c r="N166" s="17">
        <v>875</v>
      </c>
      <c r="O166" s="17">
        <v>36</v>
      </c>
      <c r="P166" s="17">
        <v>89</v>
      </c>
      <c r="Q166" s="21" t="s">
        <v>764</v>
      </c>
      <c r="R166" s="17" t="s">
        <v>194</v>
      </c>
      <c r="S166" s="17" t="s">
        <v>142</v>
      </c>
      <c r="T166" s="17"/>
    </row>
    <row r="167" s="1" customFormat="1" ht="121.8" spans="1:20">
      <c r="A167" s="17">
        <f t="shared" ref="A167:A177" si="21">ROW()-5</f>
        <v>162</v>
      </c>
      <c r="B167" s="17" t="s">
        <v>13</v>
      </c>
      <c r="C167" s="19" t="s">
        <v>15</v>
      </c>
      <c r="D167" s="19" t="s">
        <v>22</v>
      </c>
      <c r="E167" s="16" t="s">
        <v>765</v>
      </c>
      <c r="F167" s="18" t="s">
        <v>766</v>
      </c>
      <c r="G167" s="16" t="s">
        <v>362</v>
      </c>
      <c r="H167" s="20" t="s">
        <v>767</v>
      </c>
      <c r="I167" s="16">
        <f t="shared" si="18"/>
        <v>5202</v>
      </c>
      <c r="J167" s="16">
        <v>3000</v>
      </c>
      <c r="K167" s="16">
        <v>2202</v>
      </c>
      <c r="L167" s="17" t="s">
        <v>139</v>
      </c>
      <c r="M167" s="16">
        <v>20841</v>
      </c>
      <c r="N167" s="16">
        <v>57041</v>
      </c>
      <c r="O167" s="16">
        <v>981</v>
      </c>
      <c r="P167" s="20">
        <v>1889</v>
      </c>
      <c r="Q167" s="18" t="s">
        <v>768</v>
      </c>
      <c r="R167" s="17" t="s">
        <v>142</v>
      </c>
      <c r="S167" s="17" t="s">
        <v>142</v>
      </c>
      <c r="T167" s="17"/>
    </row>
    <row r="168" s="1" customFormat="1" ht="104.4" spans="1:20">
      <c r="A168" s="17">
        <f t="shared" si="21"/>
        <v>163</v>
      </c>
      <c r="B168" s="17" t="s">
        <v>13</v>
      </c>
      <c r="C168" s="19" t="s">
        <v>15</v>
      </c>
      <c r="D168" s="19" t="s">
        <v>22</v>
      </c>
      <c r="E168" s="16" t="s">
        <v>769</v>
      </c>
      <c r="F168" s="18" t="s">
        <v>770</v>
      </c>
      <c r="G168" s="16" t="s">
        <v>285</v>
      </c>
      <c r="H168" s="20" t="s">
        <v>295</v>
      </c>
      <c r="I168" s="16">
        <f t="shared" si="18"/>
        <v>225</v>
      </c>
      <c r="J168" s="16">
        <v>225</v>
      </c>
      <c r="K168" s="16"/>
      <c r="L168" s="16" t="s">
        <v>139</v>
      </c>
      <c r="M168" s="16">
        <v>503</v>
      </c>
      <c r="N168" s="16">
        <v>1419</v>
      </c>
      <c r="O168" s="16">
        <v>4</v>
      </c>
      <c r="P168" s="20">
        <v>8</v>
      </c>
      <c r="Q168" s="18" t="s">
        <v>771</v>
      </c>
      <c r="R168" s="17" t="s">
        <v>288</v>
      </c>
      <c r="S168" s="17" t="s">
        <v>142</v>
      </c>
      <c r="T168" s="17" t="s">
        <v>176</v>
      </c>
    </row>
    <row r="169" s="1" customFormat="1" ht="110" customHeight="1" spans="1:20">
      <c r="A169" s="17">
        <f t="shared" si="21"/>
        <v>164</v>
      </c>
      <c r="B169" s="17" t="s">
        <v>13</v>
      </c>
      <c r="C169" s="19" t="s">
        <v>15</v>
      </c>
      <c r="D169" s="19" t="s">
        <v>22</v>
      </c>
      <c r="E169" s="16" t="s">
        <v>772</v>
      </c>
      <c r="F169" s="18" t="s">
        <v>773</v>
      </c>
      <c r="G169" s="16" t="s">
        <v>285</v>
      </c>
      <c r="H169" s="20" t="s">
        <v>307</v>
      </c>
      <c r="I169" s="16">
        <f t="shared" si="18"/>
        <v>115</v>
      </c>
      <c r="J169" s="16">
        <v>115</v>
      </c>
      <c r="K169" s="16"/>
      <c r="L169" s="16" t="s">
        <v>139</v>
      </c>
      <c r="M169" s="16">
        <v>427</v>
      </c>
      <c r="N169" s="16">
        <v>1044</v>
      </c>
      <c r="O169" s="16">
        <v>7</v>
      </c>
      <c r="P169" s="20">
        <v>14</v>
      </c>
      <c r="Q169" s="18" t="s">
        <v>774</v>
      </c>
      <c r="R169" s="17" t="s">
        <v>288</v>
      </c>
      <c r="S169" s="17" t="s">
        <v>142</v>
      </c>
      <c r="T169" s="17" t="s">
        <v>176</v>
      </c>
    </row>
    <row r="170" s="1" customFormat="1" ht="125" customHeight="1" spans="1:20">
      <c r="A170" s="17">
        <f t="shared" si="21"/>
        <v>165</v>
      </c>
      <c r="B170" s="17" t="s">
        <v>13</v>
      </c>
      <c r="C170" s="19" t="s">
        <v>15</v>
      </c>
      <c r="D170" s="19" t="s">
        <v>22</v>
      </c>
      <c r="E170" s="16" t="s">
        <v>775</v>
      </c>
      <c r="F170" s="18" t="s">
        <v>776</v>
      </c>
      <c r="G170" s="16" t="s">
        <v>232</v>
      </c>
      <c r="H170" s="20" t="s">
        <v>476</v>
      </c>
      <c r="I170" s="16">
        <f t="shared" si="18"/>
        <v>476.1</v>
      </c>
      <c r="J170" s="16">
        <v>476.1</v>
      </c>
      <c r="K170" s="16"/>
      <c r="L170" s="16" t="s">
        <v>139</v>
      </c>
      <c r="M170" s="16">
        <v>6281</v>
      </c>
      <c r="N170" s="16">
        <v>16548</v>
      </c>
      <c r="O170" s="16">
        <v>310</v>
      </c>
      <c r="P170" s="20">
        <v>594</v>
      </c>
      <c r="Q170" s="18" t="s">
        <v>777</v>
      </c>
      <c r="R170" s="17" t="s">
        <v>240</v>
      </c>
      <c r="S170" s="17" t="s">
        <v>142</v>
      </c>
      <c r="T170" s="17"/>
    </row>
    <row r="171" ht="125" customHeight="1" spans="1:20">
      <c r="A171" s="17">
        <f t="shared" si="21"/>
        <v>166</v>
      </c>
      <c r="B171" s="17" t="s">
        <v>13</v>
      </c>
      <c r="C171" s="19" t="s">
        <v>15</v>
      </c>
      <c r="D171" s="19" t="s">
        <v>22</v>
      </c>
      <c r="E171" s="17" t="s">
        <v>778</v>
      </c>
      <c r="F171" s="21" t="s">
        <v>779</v>
      </c>
      <c r="G171" s="17" t="s">
        <v>232</v>
      </c>
      <c r="H171" s="19" t="s">
        <v>780</v>
      </c>
      <c r="I171" s="16">
        <f t="shared" si="18"/>
        <v>102</v>
      </c>
      <c r="J171" s="17">
        <v>102</v>
      </c>
      <c r="K171" s="17"/>
      <c r="L171" s="17" t="s">
        <v>139</v>
      </c>
      <c r="M171" s="17">
        <v>554</v>
      </c>
      <c r="N171" s="17">
        <v>1439</v>
      </c>
      <c r="O171" s="17">
        <v>28</v>
      </c>
      <c r="P171" s="19">
        <v>49</v>
      </c>
      <c r="Q171" s="21" t="s">
        <v>781</v>
      </c>
      <c r="R171" s="17" t="s">
        <v>240</v>
      </c>
      <c r="S171" s="17" t="s">
        <v>142</v>
      </c>
      <c r="T171" s="17"/>
    </row>
    <row r="172" ht="88" customHeight="1" spans="1:20">
      <c r="A172" s="17">
        <f t="shared" si="21"/>
        <v>167</v>
      </c>
      <c r="B172" s="17" t="s">
        <v>13</v>
      </c>
      <c r="C172" s="17" t="s">
        <v>15</v>
      </c>
      <c r="D172" s="17" t="s">
        <v>22</v>
      </c>
      <c r="E172" s="17" t="s">
        <v>782</v>
      </c>
      <c r="F172" s="21" t="s">
        <v>783</v>
      </c>
      <c r="G172" s="17" t="s">
        <v>173</v>
      </c>
      <c r="H172" s="17" t="s">
        <v>174</v>
      </c>
      <c r="I172" s="16">
        <f t="shared" si="18"/>
        <v>210</v>
      </c>
      <c r="J172" s="17">
        <v>210</v>
      </c>
      <c r="K172" s="17"/>
      <c r="L172" s="17" t="s">
        <v>139</v>
      </c>
      <c r="M172" s="17">
        <v>443</v>
      </c>
      <c r="N172" s="17">
        <v>1123</v>
      </c>
      <c r="O172" s="17">
        <v>8</v>
      </c>
      <c r="P172" s="17">
        <v>14</v>
      </c>
      <c r="Q172" s="21" t="s">
        <v>784</v>
      </c>
      <c r="R172" s="17" t="s">
        <v>173</v>
      </c>
      <c r="S172" s="17" t="s">
        <v>142</v>
      </c>
      <c r="T172" s="17" t="s">
        <v>176</v>
      </c>
    </row>
    <row r="173" ht="87" customHeight="1" spans="1:20">
      <c r="A173" s="17">
        <f t="shared" si="21"/>
        <v>168</v>
      </c>
      <c r="B173" s="17" t="s">
        <v>13</v>
      </c>
      <c r="C173" s="19" t="s">
        <v>15</v>
      </c>
      <c r="D173" s="19" t="s">
        <v>22</v>
      </c>
      <c r="E173" s="17" t="s">
        <v>785</v>
      </c>
      <c r="F173" s="21" t="s">
        <v>786</v>
      </c>
      <c r="G173" s="17" t="s">
        <v>194</v>
      </c>
      <c r="H173" s="19" t="s">
        <v>675</v>
      </c>
      <c r="I173" s="16">
        <f t="shared" si="18"/>
        <v>80</v>
      </c>
      <c r="J173" s="17">
        <v>80</v>
      </c>
      <c r="K173" s="17"/>
      <c r="L173" s="17" t="s">
        <v>139</v>
      </c>
      <c r="M173" s="17">
        <v>483</v>
      </c>
      <c r="N173" s="17">
        <v>1238</v>
      </c>
      <c r="O173" s="17">
        <v>20</v>
      </c>
      <c r="P173" s="19">
        <v>36</v>
      </c>
      <c r="Q173" s="21" t="s">
        <v>787</v>
      </c>
      <c r="R173" s="17" t="s">
        <v>194</v>
      </c>
      <c r="S173" s="17" t="s">
        <v>142</v>
      </c>
      <c r="T173" s="17"/>
    </row>
    <row r="174" s="3" customFormat="1" ht="99" customHeight="1" spans="1:20">
      <c r="A174" s="17">
        <f t="shared" si="21"/>
        <v>169</v>
      </c>
      <c r="B174" s="17" t="s">
        <v>13</v>
      </c>
      <c r="C174" s="19" t="s">
        <v>15</v>
      </c>
      <c r="D174" s="19" t="s">
        <v>22</v>
      </c>
      <c r="E174" s="16" t="s">
        <v>788</v>
      </c>
      <c r="F174" s="18" t="s">
        <v>789</v>
      </c>
      <c r="G174" s="16" t="s">
        <v>173</v>
      </c>
      <c r="H174" s="20" t="s">
        <v>179</v>
      </c>
      <c r="I174" s="16">
        <v>210</v>
      </c>
      <c r="J174" s="16">
        <v>210</v>
      </c>
      <c r="K174" s="16"/>
      <c r="L174" s="16" t="s">
        <v>139</v>
      </c>
      <c r="M174" s="16">
        <v>403</v>
      </c>
      <c r="N174" s="16">
        <v>1309</v>
      </c>
      <c r="O174" s="16">
        <v>13</v>
      </c>
      <c r="P174" s="20">
        <v>23</v>
      </c>
      <c r="Q174" s="18" t="s">
        <v>790</v>
      </c>
      <c r="R174" s="17" t="s">
        <v>173</v>
      </c>
      <c r="S174" s="17" t="s">
        <v>142</v>
      </c>
      <c r="T174" s="17"/>
    </row>
    <row r="175" ht="82" customHeight="1" spans="1:20">
      <c r="A175" s="17">
        <f t="shared" si="21"/>
        <v>170</v>
      </c>
      <c r="B175" s="29" t="s">
        <v>13</v>
      </c>
      <c r="C175" s="29" t="s">
        <v>15</v>
      </c>
      <c r="D175" s="29" t="s">
        <v>22</v>
      </c>
      <c r="E175" s="29" t="s">
        <v>791</v>
      </c>
      <c r="F175" s="30" t="s">
        <v>792</v>
      </c>
      <c r="G175" s="29" t="s">
        <v>412</v>
      </c>
      <c r="H175" s="29" t="s">
        <v>418</v>
      </c>
      <c r="I175" s="16">
        <f>J175+K175</f>
        <v>50</v>
      </c>
      <c r="J175" s="16">
        <v>50</v>
      </c>
      <c r="K175" s="16"/>
      <c r="L175" s="29" t="s">
        <v>139</v>
      </c>
      <c r="M175" s="29">
        <v>519</v>
      </c>
      <c r="N175" s="29">
        <v>1549</v>
      </c>
      <c r="O175" s="29">
        <v>10</v>
      </c>
      <c r="P175" s="29">
        <v>20</v>
      </c>
      <c r="Q175" s="21" t="s">
        <v>793</v>
      </c>
      <c r="R175" s="17" t="s">
        <v>415</v>
      </c>
      <c r="S175" s="17" t="s">
        <v>142</v>
      </c>
      <c r="T175" s="17" t="s">
        <v>176</v>
      </c>
    </row>
    <row r="176" customFormat="1" ht="105" customHeight="1" spans="1:20">
      <c r="A176" s="17">
        <f t="shared" si="21"/>
        <v>171</v>
      </c>
      <c r="B176" s="29" t="s">
        <v>13</v>
      </c>
      <c r="C176" s="29" t="s">
        <v>15</v>
      </c>
      <c r="D176" s="29" t="s">
        <v>22</v>
      </c>
      <c r="E176" s="17" t="s">
        <v>794</v>
      </c>
      <c r="F176" s="21" t="s">
        <v>795</v>
      </c>
      <c r="G176" s="17" t="s">
        <v>362</v>
      </c>
      <c r="H176" s="17" t="s">
        <v>597</v>
      </c>
      <c r="I176" s="16">
        <f>J176+K176</f>
        <v>50</v>
      </c>
      <c r="J176" s="17">
        <v>50</v>
      </c>
      <c r="K176" s="17"/>
      <c r="L176" s="17" t="s">
        <v>139</v>
      </c>
      <c r="M176" s="17">
        <v>342</v>
      </c>
      <c r="N176" s="17">
        <v>969</v>
      </c>
      <c r="O176" s="17">
        <v>13</v>
      </c>
      <c r="P176" s="17">
        <v>22</v>
      </c>
      <c r="Q176" s="21" t="s">
        <v>796</v>
      </c>
      <c r="R176" s="17" t="s">
        <v>365</v>
      </c>
      <c r="S176" s="17" t="s">
        <v>142</v>
      </c>
      <c r="T176" s="17" t="s">
        <v>176</v>
      </c>
    </row>
    <row r="177" s="1" customFormat="1" ht="150" customHeight="1" spans="1:20">
      <c r="A177" s="17">
        <f t="shared" si="21"/>
        <v>172</v>
      </c>
      <c r="B177" s="17" t="s">
        <v>13</v>
      </c>
      <c r="C177" s="19" t="s">
        <v>23</v>
      </c>
      <c r="D177" s="19" t="s">
        <v>24</v>
      </c>
      <c r="E177" s="16" t="s">
        <v>797</v>
      </c>
      <c r="F177" s="18" t="s">
        <v>798</v>
      </c>
      <c r="G177" s="16" t="s">
        <v>257</v>
      </c>
      <c r="H177" s="20" t="s">
        <v>799</v>
      </c>
      <c r="I177" s="16">
        <f t="shared" ref="I177:I219" si="22">J177+K177</f>
        <v>79.552</v>
      </c>
      <c r="J177" s="16">
        <v>79.552</v>
      </c>
      <c r="K177" s="16"/>
      <c r="L177" s="16" t="s">
        <v>139</v>
      </c>
      <c r="M177" s="16">
        <v>4479</v>
      </c>
      <c r="N177" s="16">
        <v>12162</v>
      </c>
      <c r="O177" s="16">
        <v>196</v>
      </c>
      <c r="P177" s="20">
        <v>419</v>
      </c>
      <c r="Q177" s="18" t="s">
        <v>800</v>
      </c>
      <c r="R177" s="17" t="s">
        <v>260</v>
      </c>
      <c r="S177" s="17" t="s">
        <v>142</v>
      </c>
      <c r="T177" s="17"/>
    </row>
    <row r="178" s="1" customFormat="1" ht="145" customHeight="1" spans="1:20">
      <c r="A178" s="17">
        <f t="shared" ref="A178:A187" si="23">ROW()-5</f>
        <v>173</v>
      </c>
      <c r="B178" s="17" t="s">
        <v>13</v>
      </c>
      <c r="C178" s="19" t="s">
        <v>23</v>
      </c>
      <c r="D178" s="19" t="s">
        <v>24</v>
      </c>
      <c r="E178" s="16" t="s">
        <v>801</v>
      </c>
      <c r="F178" s="18" t="s">
        <v>802</v>
      </c>
      <c r="G178" s="16" t="s">
        <v>257</v>
      </c>
      <c r="H178" s="20" t="s">
        <v>799</v>
      </c>
      <c r="I178" s="16">
        <f t="shared" si="22"/>
        <v>95</v>
      </c>
      <c r="J178" s="16">
        <v>95</v>
      </c>
      <c r="K178" s="16"/>
      <c r="L178" s="16" t="s">
        <v>139</v>
      </c>
      <c r="M178" s="16">
        <v>4479</v>
      </c>
      <c r="N178" s="16">
        <v>12162</v>
      </c>
      <c r="O178" s="16">
        <v>196</v>
      </c>
      <c r="P178" s="20">
        <v>419</v>
      </c>
      <c r="Q178" s="18" t="s">
        <v>803</v>
      </c>
      <c r="R178" s="17" t="s">
        <v>260</v>
      </c>
      <c r="S178" s="17" t="s">
        <v>142</v>
      </c>
      <c r="T178" s="17"/>
    </row>
    <row r="179" s="1" customFormat="1" ht="110" customHeight="1" spans="1:20">
      <c r="A179" s="17">
        <f t="shared" si="23"/>
        <v>174</v>
      </c>
      <c r="B179" s="17" t="s">
        <v>13</v>
      </c>
      <c r="C179" s="19" t="s">
        <v>23</v>
      </c>
      <c r="D179" s="19" t="s">
        <v>24</v>
      </c>
      <c r="E179" s="16" t="s">
        <v>804</v>
      </c>
      <c r="F179" s="18" t="s">
        <v>805</v>
      </c>
      <c r="G179" s="16" t="s">
        <v>362</v>
      </c>
      <c r="H179" s="20" t="s">
        <v>371</v>
      </c>
      <c r="I179" s="16">
        <f t="shared" si="22"/>
        <v>60</v>
      </c>
      <c r="J179" s="16">
        <v>60</v>
      </c>
      <c r="K179" s="16"/>
      <c r="L179" s="16" t="s">
        <v>139</v>
      </c>
      <c r="M179" s="16">
        <v>356</v>
      </c>
      <c r="N179" s="16">
        <v>962</v>
      </c>
      <c r="O179" s="16">
        <v>12</v>
      </c>
      <c r="P179" s="20">
        <v>18</v>
      </c>
      <c r="Q179" s="18" t="s">
        <v>806</v>
      </c>
      <c r="R179" s="17" t="s">
        <v>365</v>
      </c>
      <c r="S179" s="17" t="s">
        <v>142</v>
      </c>
      <c r="T179" s="17" t="s">
        <v>176</v>
      </c>
    </row>
    <row r="180" s="1" customFormat="1" ht="111" customHeight="1" spans="1:20">
      <c r="A180" s="17">
        <f t="shared" si="23"/>
        <v>175</v>
      </c>
      <c r="B180" s="17" t="s">
        <v>13</v>
      </c>
      <c r="C180" s="19" t="s">
        <v>23</v>
      </c>
      <c r="D180" s="19" t="s">
        <v>24</v>
      </c>
      <c r="E180" s="16" t="s">
        <v>807</v>
      </c>
      <c r="F180" s="18" t="s">
        <v>808</v>
      </c>
      <c r="G180" s="16" t="s">
        <v>429</v>
      </c>
      <c r="H180" s="20" t="s">
        <v>430</v>
      </c>
      <c r="I180" s="16">
        <f t="shared" si="22"/>
        <v>160</v>
      </c>
      <c r="J180" s="16">
        <v>160</v>
      </c>
      <c r="K180" s="16"/>
      <c r="L180" s="16" t="s">
        <v>139</v>
      </c>
      <c r="M180" s="16">
        <v>425</v>
      </c>
      <c r="N180" s="16">
        <v>1150</v>
      </c>
      <c r="O180" s="16">
        <v>14</v>
      </c>
      <c r="P180" s="20">
        <v>31</v>
      </c>
      <c r="Q180" s="18" t="s">
        <v>809</v>
      </c>
      <c r="R180" s="17" t="s">
        <v>432</v>
      </c>
      <c r="S180" s="17" t="s">
        <v>142</v>
      </c>
      <c r="T180" s="17" t="s">
        <v>433</v>
      </c>
    </row>
    <row r="181" s="1" customFormat="1" ht="376" customHeight="1" spans="1:20">
      <c r="A181" s="17">
        <f t="shared" si="23"/>
        <v>176</v>
      </c>
      <c r="B181" s="17" t="s">
        <v>13</v>
      </c>
      <c r="C181" s="17" t="s">
        <v>23</v>
      </c>
      <c r="D181" s="17" t="s">
        <v>24</v>
      </c>
      <c r="E181" s="17" t="s">
        <v>810</v>
      </c>
      <c r="F181" s="21" t="s">
        <v>811</v>
      </c>
      <c r="G181" s="17" t="s">
        <v>362</v>
      </c>
      <c r="H181" s="17" t="s">
        <v>558</v>
      </c>
      <c r="I181" s="16">
        <f t="shared" si="22"/>
        <v>9226</v>
      </c>
      <c r="J181" s="17">
        <v>1700</v>
      </c>
      <c r="K181" s="17">
        <v>7526</v>
      </c>
      <c r="L181" s="17" t="s">
        <v>139</v>
      </c>
      <c r="M181" s="17">
        <v>8225</v>
      </c>
      <c r="N181" s="17">
        <v>21797</v>
      </c>
      <c r="O181" s="17">
        <v>408</v>
      </c>
      <c r="P181" s="17">
        <v>810</v>
      </c>
      <c r="Q181" s="21" t="s">
        <v>812</v>
      </c>
      <c r="R181" s="17" t="s">
        <v>813</v>
      </c>
      <c r="S181" s="17" t="s">
        <v>142</v>
      </c>
      <c r="T181" s="17"/>
    </row>
    <row r="182" ht="87" spans="1:20">
      <c r="A182" s="17">
        <f t="shared" si="23"/>
        <v>177</v>
      </c>
      <c r="B182" s="17" t="s">
        <v>13</v>
      </c>
      <c r="C182" s="17" t="s">
        <v>23</v>
      </c>
      <c r="D182" s="17" t="s">
        <v>24</v>
      </c>
      <c r="E182" s="17" t="s">
        <v>814</v>
      </c>
      <c r="F182" s="21" t="s">
        <v>815</v>
      </c>
      <c r="G182" s="17" t="s">
        <v>571</v>
      </c>
      <c r="H182" s="17" t="s">
        <v>719</v>
      </c>
      <c r="I182" s="16">
        <f t="shared" si="22"/>
        <v>128.6455</v>
      </c>
      <c r="J182" s="17">
        <v>128.6455</v>
      </c>
      <c r="K182" s="17"/>
      <c r="L182" s="17" t="s">
        <v>139</v>
      </c>
      <c r="M182" s="17">
        <v>565</v>
      </c>
      <c r="N182" s="17">
        <v>1738</v>
      </c>
      <c r="O182" s="17">
        <v>6</v>
      </c>
      <c r="P182" s="17">
        <v>6</v>
      </c>
      <c r="Q182" s="21" t="s">
        <v>816</v>
      </c>
      <c r="R182" s="17" t="s">
        <v>574</v>
      </c>
      <c r="S182" s="17" t="s">
        <v>142</v>
      </c>
      <c r="T182" s="17" t="s">
        <v>176</v>
      </c>
    </row>
    <row r="183" ht="121.8" spans="1:20">
      <c r="A183" s="17">
        <f t="shared" si="23"/>
        <v>178</v>
      </c>
      <c r="B183" s="17" t="s">
        <v>13</v>
      </c>
      <c r="C183" s="17" t="s">
        <v>23</v>
      </c>
      <c r="D183" s="17" t="s">
        <v>24</v>
      </c>
      <c r="E183" s="17" t="s">
        <v>817</v>
      </c>
      <c r="F183" s="21" t="s">
        <v>818</v>
      </c>
      <c r="G183" s="17" t="s">
        <v>257</v>
      </c>
      <c r="H183" s="17" t="s">
        <v>819</v>
      </c>
      <c r="I183" s="16">
        <f t="shared" si="22"/>
        <v>54</v>
      </c>
      <c r="J183" s="17">
        <v>54</v>
      </c>
      <c r="K183" s="17"/>
      <c r="L183" s="17" t="s">
        <v>139</v>
      </c>
      <c r="M183" s="17">
        <v>4479</v>
      </c>
      <c r="N183" s="17">
        <v>12162</v>
      </c>
      <c r="O183" s="17">
        <v>196</v>
      </c>
      <c r="P183" s="17">
        <v>419</v>
      </c>
      <c r="Q183" s="21" t="s">
        <v>820</v>
      </c>
      <c r="R183" s="17" t="s">
        <v>260</v>
      </c>
      <c r="S183" s="17" t="s">
        <v>142</v>
      </c>
      <c r="T183" s="17"/>
    </row>
    <row r="184" ht="87" spans="1:20">
      <c r="A184" s="17">
        <f t="shared" si="23"/>
        <v>179</v>
      </c>
      <c r="B184" s="19" t="s">
        <v>13</v>
      </c>
      <c r="C184" s="19" t="s">
        <v>23</v>
      </c>
      <c r="D184" s="19" t="s">
        <v>24</v>
      </c>
      <c r="E184" s="19" t="s">
        <v>821</v>
      </c>
      <c r="F184" s="21" t="s">
        <v>822</v>
      </c>
      <c r="G184" s="19" t="s">
        <v>194</v>
      </c>
      <c r="H184" s="19" t="s">
        <v>199</v>
      </c>
      <c r="I184" s="16">
        <f t="shared" si="22"/>
        <v>10</v>
      </c>
      <c r="J184" s="19">
        <v>10</v>
      </c>
      <c r="K184" s="19"/>
      <c r="L184" s="19" t="s">
        <v>139</v>
      </c>
      <c r="M184" s="19">
        <v>380</v>
      </c>
      <c r="N184" s="19">
        <v>1020</v>
      </c>
      <c r="O184" s="19">
        <v>18</v>
      </c>
      <c r="P184" s="19">
        <v>31</v>
      </c>
      <c r="Q184" s="31" t="s">
        <v>823</v>
      </c>
      <c r="R184" s="19" t="s">
        <v>194</v>
      </c>
      <c r="S184" s="19" t="s">
        <v>142</v>
      </c>
      <c r="T184" s="17"/>
    </row>
    <row r="185" s="1" customFormat="1" ht="139.2" spans="1:20">
      <c r="A185" s="17">
        <f t="shared" si="23"/>
        <v>180</v>
      </c>
      <c r="B185" s="16" t="s">
        <v>13</v>
      </c>
      <c r="C185" s="16" t="s">
        <v>23</v>
      </c>
      <c r="D185" s="16" t="s">
        <v>25</v>
      </c>
      <c r="E185" s="16" t="s">
        <v>824</v>
      </c>
      <c r="F185" s="18" t="s">
        <v>825</v>
      </c>
      <c r="G185" s="16" t="s">
        <v>137</v>
      </c>
      <c r="H185" s="16" t="s">
        <v>138</v>
      </c>
      <c r="I185" s="16">
        <f t="shared" si="22"/>
        <v>15</v>
      </c>
      <c r="J185" s="16">
        <v>15</v>
      </c>
      <c r="K185" s="16"/>
      <c r="L185" s="16" t="s">
        <v>139</v>
      </c>
      <c r="M185" s="16">
        <v>512</v>
      </c>
      <c r="N185" s="16">
        <v>1270</v>
      </c>
      <c r="O185" s="16">
        <v>35</v>
      </c>
      <c r="P185" s="16">
        <v>71</v>
      </c>
      <c r="Q185" s="18" t="s">
        <v>826</v>
      </c>
      <c r="R185" s="16" t="s">
        <v>141</v>
      </c>
      <c r="S185" s="16" t="s">
        <v>142</v>
      </c>
      <c r="T185" s="17"/>
    </row>
    <row r="186" s="1" customFormat="1" ht="104.4" spans="1:20">
      <c r="A186" s="17">
        <f t="shared" si="23"/>
        <v>181</v>
      </c>
      <c r="B186" s="17" t="s">
        <v>13</v>
      </c>
      <c r="C186" s="19" t="s">
        <v>23</v>
      </c>
      <c r="D186" s="19" t="s">
        <v>25</v>
      </c>
      <c r="E186" s="16" t="s">
        <v>827</v>
      </c>
      <c r="F186" s="18" t="s">
        <v>828</v>
      </c>
      <c r="G186" s="16" t="s">
        <v>168</v>
      </c>
      <c r="H186" s="20" t="s">
        <v>453</v>
      </c>
      <c r="I186" s="16">
        <f t="shared" si="22"/>
        <v>46</v>
      </c>
      <c r="J186" s="16">
        <v>46</v>
      </c>
      <c r="K186" s="16"/>
      <c r="L186" s="16" t="s">
        <v>139</v>
      </c>
      <c r="M186" s="16">
        <v>4397</v>
      </c>
      <c r="N186" s="16">
        <v>10931</v>
      </c>
      <c r="O186" s="16">
        <v>113</v>
      </c>
      <c r="P186" s="20">
        <v>179</v>
      </c>
      <c r="Q186" s="18" t="s">
        <v>829</v>
      </c>
      <c r="R186" s="17" t="s">
        <v>455</v>
      </c>
      <c r="S186" s="17" t="s">
        <v>142</v>
      </c>
      <c r="T186" s="17"/>
    </row>
    <row r="187" s="1" customFormat="1" ht="115" customHeight="1" spans="1:20">
      <c r="A187" s="17">
        <f t="shared" si="23"/>
        <v>182</v>
      </c>
      <c r="B187" s="17" t="s">
        <v>13</v>
      </c>
      <c r="C187" s="19" t="s">
        <v>23</v>
      </c>
      <c r="D187" s="19" t="s">
        <v>25</v>
      </c>
      <c r="E187" s="16" t="s">
        <v>830</v>
      </c>
      <c r="F187" s="18" t="s">
        <v>831</v>
      </c>
      <c r="G187" s="16" t="s">
        <v>194</v>
      </c>
      <c r="H187" s="20" t="s">
        <v>195</v>
      </c>
      <c r="I187" s="16">
        <f t="shared" si="22"/>
        <v>98</v>
      </c>
      <c r="J187" s="16">
        <v>98</v>
      </c>
      <c r="K187" s="16"/>
      <c r="L187" s="16" t="s">
        <v>139</v>
      </c>
      <c r="M187" s="16">
        <v>453</v>
      </c>
      <c r="N187" s="16">
        <v>1121</v>
      </c>
      <c r="O187" s="16">
        <v>15</v>
      </c>
      <c r="P187" s="20">
        <v>34</v>
      </c>
      <c r="Q187" s="18" t="s">
        <v>832</v>
      </c>
      <c r="R187" s="17" t="s">
        <v>194</v>
      </c>
      <c r="S187" s="17" t="s">
        <v>142</v>
      </c>
      <c r="T187" s="17"/>
    </row>
    <row r="188" s="1" customFormat="1" ht="184" customHeight="1" spans="1:20">
      <c r="A188" s="17">
        <f t="shared" ref="A188:A197" si="24">ROW()-5</f>
        <v>183</v>
      </c>
      <c r="B188" s="17" t="s">
        <v>13</v>
      </c>
      <c r="C188" s="19" t="s">
        <v>23</v>
      </c>
      <c r="D188" s="19" t="s">
        <v>25</v>
      </c>
      <c r="E188" s="16" t="s">
        <v>833</v>
      </c>
      <c r="F188" s="18" t="s">
        <v>834</v>
      </c>
      <c r="G188" s="16" t="s">
        <v>194</v>
      </c>
      <c r="H188" s="20" t="s">
        <v>763</v>
      </c>
      <c r="I188" s="16">
        <f t="shared" si="22"/>
        <v>40.1</v>
      </c>
      <c r="J188" s="16">
        <v>40.1</v>
      </c>
      <c r="K188" s="16"/>
      <c r="L188" s="16" t="s">
        <v>139</v>
      </c>
      <c r="M188" s="16">
        <v>341</v>
      </c>
      <c r="N188" s="16">
        <v>875</v>
      </c>
      <c r="O188" s="16">
        <v>36</v>
      </c>
      <c r="P188" s="20">
        <v>89</v>
      </c>
      <c r="Q188" s="18" t="s">
        <v>835</v>
      </c>
      <c r="R188" s="17" t="s">
        <v>194</v>
      </c>
      <c r="S188" s="17" t="s">
        <v>142</v>
      </c>
      <c r="T188" s="17"/>
    </row>
    <row r="189" s="1" customFormat="1" ht="87" spans="1:20">
      <c r="A189" s="17">
        <f t="shared" si="24"/>
        <v>184</v>
      </c>
      <c r="B189" s="17" t="s">
        <v>13</v>
      </c>
      <c r="C189" s="19" t="s">
        <v>23</v>
      </c>
      <c r="D189" s="19" t="s">
        <v>25</v>
      </c>
      <c r="E189" s="16" t="s">
        <v>836</v>
      </c>
      <c r="F189" s="18" t="s">
        <v>837</v>
      </c>
      <c r="G189" s="16" t="s">
        <v>173</v>
      </c>
      <c r="H189" s="20" t="s">
        <v>174</v>
      </c>
      <c r="I189" s="16">
        <f t="shared" si="22"/>
        <v>210</v>
      </c>
      <c r="J189" s="16">
        <v>210</v>
      </c>
      <c r="K189" s="16"/>
      <c r="L189" s="16" t="s">
        <v>139</v>
      </c>
      <c r="M189" s="16">
        <v>443</v>
      </c>
      <c r="N189" s="16">
        <v>1123</v>
      </c>
      <c r="O189" s="16">
        <v>10</v>
      </c>
      <c r="P189" s="20">
        <v>19</v>
      </c>
      <c r="Q189" s="18" t="s">
        <v>838</v>
      </c>
      <c r="R189" s="17" t="s">
        <v>173</v>
      </c>
      <c r="S189" s="17" t="s">
        <v>142</v>
      </c>
      <c r="T189" s="17" t="s">
        <v>176</v>
      </c>
    </row>
    <row r="190" s="1" customFormat="1" ht="69.6" spans="1:20">
      <c r="A190" s="17">
        <f t="shared" si="24"/>
        <v>185</v>
      </c>
      <c r="B190" s="17" t="s">
        <v>13</v>
      </c>
      <c r="C190" s="19" t="s">
        <v>23</v>
      </c>
      <c r="D190" s="19" t="s">
        <v>25</v>
      </c>
      <c r="E190" s="17" t="s">
        <v>839</v>
      </c>
      <c r="F190" s="21" t="s">
        <v>840</v>
      </c>
      <c r="G190" s="17" t="s">
        <v>173</v>
      </c>
      <c r="H190" s="19" t="s">
        <v>179</v>
      </c>
      <c r="I190" s="16">
        <f t="shared" si="22"/>
        <v>18</v>
      </c>
      <c r="J190" s="17">
        <v>18</v>
      </c>
      <c r="K190" s="17"/>
      <c r="L190" s="17" t="s">
        <v>139</v>
      </c>
      <c r="M190" s="17">
        <v>403</v>
      </c>
      <c r="N190" s="17">
        <v>1036</v>
      </c>
      <c r="O190" s="17">
        <v>13</v>
      </c>
      <c r="P190" s="17">
        <v>23</v>
      </c>
      <c r="Q190" s="21" t="s">
        <v>841</v>
      </c>
      <c r="R190" s="17" t="s">
        <v>173</v>
      </c>
      <c r="S190" s="17" t="s">
        <v>142</v>
      </c>
      <c r="T190" s="17"/>
    </row>
    <row r="191" s="1" customFormat="1" ht="121" customHeight="1" spans="1:20">
      <c r="A191" s="17">
        <f t="shared" si="24"/>
        <v>186</v>
      </c>
      <c r="B191" s="17" t="s">
        <v>13</v>
      </c>
      <c r="C191" s="19" t="s">
        <v>23</v>
      </c>
      <c r="D191" s="19" t="s">
        <v>25</v>
      </c>
      <c r="E191" s="16" t="s">
        <v>842</v>
      </c>
      <c r="F191" s="18" t="s">
        <v>843</v>
      </c>
      <c r="G191" s="16" t="s">
        <v>183</v>
      </c>
      <c r="H191" s="20" t="s">
        <v>580</v>
      </c>
      <c r="I191" s="16">
        <f t="shared" si="22"/>
        <v>215</v>
      </c>
      <c r="J191" s="16">
        <v>215</v>
      </c>
      <c r="K191" s="16"/>
      <c r="L191" s="16" t="s">
        <v>139</v>
      </c>
      <c r="M191" s="16">
        <v>1828</v>
      </c>
      <c r="N191" s="16">
        <v>4933</v>
      </c>
      <c r="O191" s="16">
        <v>100</v>
      </c>
      <c r="P191" s="20">
        <v>236</v>
      </c>
      <c r="Q191" s="18" t="s">
        <v>844</v>
      </c>
      <c r="R191" s="17" t="s">
        <v>183</v>
      </c>
      <c r="S191" s="17" t="s">
        <v>142</v>
      </c>
      <c r="T191" s="17" t="s">
        <v>186</v>
      </c>
    </row>
    <row r="192" s="1" customFormat="1" ht="87" spans="1:20">
      <c r="A192" s="17">
        <f t="shared" si="24"/>
        <v>187</v>
      </c>
      <c r="B192" s="17" t="s">
        <v>13</v>
      </c>
      <c r="C192" s="19" t="s">
        <v>23</v>
      </c>
      <c r="D192" s="19" t="s">
        <v>25</v>
      </c>
      <c r="E192" s="16" t="s">
        <v>845</v>
      </c>
      <c r="F192" s="18" t="s">
        <v>846</v>
      </c>
      <c r="G192" s="16" t="s">
        <v>247</v>
      </c>
      <c r="H192" s="20" t="s">
        <v>624</v>
      </c>
      <c r="I192" s="16">
        <f t="shared" si="22"/>
        <v>12</v>
      </c>
      <c r="J192" s="16">
        <v>12</v>
      </c>
      <c r="K192" s="16"/>
      <c r="L192" s="16" t="s">
        <v>139</v>
      </c>
      <c r="M192" s="16">
        <v>473</v>
      </c>
      <c r="N192" s="16">
        <v>1394</v>
      </c>
      <c r="O192" s="16">
        <v>8</v>
      </c>
      <c r="P192" s="20">
        <v>14</v>
      </c>
      <c r="Q192" s="18" t="s">
        <v>847</v>
      </c>
      <c r="R192" s="17" t="s">
        <v>250</v>
      </c>
      <c r="S192" s="17" t="s">
        <v>142</v>
      </c>
      <c r="T192" s="17" t="s">
        <v>176</v>
      </c>
    </row>
    <row r="193" s="1" customFormat="1" ht="87" spans="1:20">
      <c r="A193" s="17">
        <f t="shared" si="24"/>
        <v>188</v>
      </c>
      <c r="B193" s="17" t="s">
        <v>13</v>
      </c>
      <c r="C193" s="19" t="s">
        <v>23</v>
      </c>
      <c r="D193" s="19" t="s">
        <v>25</v>
      </c>
      <c r="E193" s="16" t="s">
        <v>848</v>
      </c>
      <c r="F193" s="18" t="s">
        <v>849</v>
      </c>
      <c r="G193" s="16" t="s">
        <v>247</v>
      </c>
      <c r="H193" s="20" t="s">
        <v>850</v>
      </c>
      <c r="I193" s="16">
        <f t="shared" si="22"/>
        <v>50</v>
      </c>
      <c r="J193" s="16">
        <v>50</v>
      </c>
      <c r="K193" s="16"/>
      <c r="L193" s="16" t="s">
        <v>139</v>
      </c>
      <c r="M193" s="16">
        <v>450</v>
      </c>
      <c r="N193" s="16">
        <v>1280</v>
      </c>
      <c r="O193" s="16">
        <v>6</v>
      </c>
      <c r="P193" s="20">
        <v>12</v>
      </c>
      <c r="Q193" s="18" t="s">
        <v>851</v>
      </c>
      <c r="R193" s="17" t="s">
        <v>250</v>
      </c>
      <c r="S193" s="17" t="s">
        <v>142</v>
      </c>
      <c r="T193" s="17" t="s">
        <v>176</v>
      </c>
    </row>
    <row r="194" s="1" customFormat="1" ht="104.4" spans="1:20">
      <c r="A194" s="17">
        <f t="shared" si="24"/>
        <v>189</v>
      </c>
      <c r="B194" s="17" t="s">
        <v>13</v>
      </c>
      <c r="C194" s="19" t="s">
        <v>23</v>
      </c>
      <c r="D194" s="19" t="s">
        <v>25</v>
      </c>
      <c r="E194" s="16" t="s">
        <v>852</v>
      </c>
      <c r="F194" s="18" t="s">
        <v>853</v>
      </c>
      <c r="G194" s="16" t="s">
        <v>285</v>
      </c>
      <c r="H194" s="20" t="s">
        <v>295</v>
      </c>
      <c r="I194" s="16">
        <f t="shared" si="22"/>
        <v>30</v>
      </c>
      <c r="J194" s="16">
        <v>30</v>
      </c>
      <c r="K194" s="16"/>
      <c r="L194" s="16" t="s">
        <v>139</v>
      </c>
      <c r="M194" s="16">
        <v>503</v>
      </c>
      <c r="N194" s="16">
        <v>1419</v>
      </c>
      <c r="O194" s="16">
        <v>4</v>
      </c>
      <c r="P194" s="20">
        <v>8</v>
      </c>
      <c r="Q194" s="18" t="s">
        <v>854</v>
      </c>
      <c r="R194" s="17" t="s">
        <v>288</v>
      </c>
      <c r="S194" s="17" t="s">
        <v>142</v>
      </c>
      <c r="T194" s="17" t="s">
        <v>176</v>
      </c>
    </row>
    <row r="195" s="1" customFormat="1" ht="87" spans="1:20">
      <c r="A195" s="17">
        <f t="shared" si="24"/>
        <v>190</v>
      </c>
      <c r="B195" s="17" t="s">
        <v>13</v>
      </c>
      <c r="C195" s="19" t="s">
        <v>23</v>
      </c>
      <c r="D195" s="19" t="s">
        <v>25</v>
      </c>
      <c r="E195" s="16" t="s">
        <v>855</v>
      </c>
      <c r="F195" s="18" t="s">
        <v>856</v>
      </c>
      <c r="G195" s="16" t="s">
        <v>362</v>
      </c>
      <c r="H195" s="20" t="s">
        <v>637</v>
      </c>
      <c r="I195" s="16">
        <f t="shared" si="22"/>
        <v>60</v>
      </c>
      <c r="J195" s="16">
        <v>60</v>
      </c>
      <c r="K195" s="16"/>
      <c r="L195" s="16" t="s">
        <v>139</v>
      </c>
      <c r="M195" s="16">
        <v>318</v>
      </c>
      <c r="N195" s="16">
        <v>815</v>
      </c>
      <c r="O195" s="16">
        <v>11</v>
      </c>
      <c r="P195" s="20">
        <v>23</v>
      </c>
      <c r="Q195" s="18" t="s">
        <v>857</v>
      </c>
      <c r="R195" s="17" t="s">
        <v>365</v>
      </c>
      <c r="S195" s="17" t="s">
        <v>142</v>
      </c>
      <c r="T195" s="17"/>
    </row>
    <row r="196" s="1" customFormat="1" ht="80" customHeight="1" spans="1:20">
      <c r="A196" s="17">
        <f t="shared" si="24"/>
        <v>191</v>
      </c>
      <c r="B196" s="17" t="s">
        <v>13</v>
      </c>
      <c r="C196" s="19" t="s">
        <v>23</v>
      </c>
      <c r="D196" s="19" t="s">
        <v>25</v>
      </c>
      <c r="E196" s="16" t="s">
        <v>858</v>
      </c>
      <c r="F196" s="18" t="s">
        <v>859</v>
      </c>
      <c r="G196" s="16" t="s">
        <v>362</v>
      </c>
      <c r="H196" s="20" t="s">
        <v>597</v>
      </c>
      <c r="I196" s="16">
        <f t="shared" si="22"/>
        <v>50</v>
      </c>
      <c r="J196" s="16">
        <v>50</v>
      </c>
      <c r="K196" s="16"/>
      <c r="L196" s="16" t="s">
        <v>139</v>
      </c>
      <c r="M196" s="16">
        <v>342</v>
      </c>
      <c r="N196" s="16">
        <v>969</v>
      </c>
      <c r="O196" s="16">
        <v>13</v>
      </c>
      <c r="P196" s="20">
        <v>22</v>
      </c>
      <c r="Q196" s="18" t="s">
        <v>860</v>
      </c>
      <c r="R196" s="17" t="s">
        <v>365</v>
      </c>
      <c r="S196" s="17" t="s">
        <v>142</v>
      </c>
      <c r="T196" s="17" t="s">
        <v>176</v>
      </c>
    </row>
    <row r="197" s="1" customFormat="1" ht="158" customHeight="1" spans="1:20">
      <c r="A197" s="17">
        <f t="shared" si="24"/>
        <v>192</v>
      </c>
      <c r="B197" s="17" t="s">
        <v>13</v>
      </c>
      <c r="C197" s="19" t="s">
        <v>23</v>
      </c>
      <c r="D197" s="19" t="s">
        <v>25</v>
      </c>
      <c r="E197" s="16" t="s">
        <v>861</v>
      </c>
      <c r="F197" s="18" t="s">
        <v>862</v>
      </c>
      <c r="G197" s="16" t="s">
        <v>137</v>
      </c>
      <c r="H197" s="20" t="s">
        <v>863</v>
      </c>
      <c r="I197" s="16">
        <f t="shared" si="22"/>
        <v>80</v>
      </c>
      <c r="J197" s="16">
        <v>80</v>
      </c>
      <c r="K197" s="16"/>
      <c r="L197" s="16" t="s">
        <v>139</v>
      </c>
      <c r="M197" s="16">
        <v>455</v>
      </c>
      <c r="N197" s="16">
        <v>1160</v>
      </c>
      <c r="O197" s="16">
        <v>56</v>
      </c>
      <c r="P197" s="20">
        <v>122</v>
      </c>
      <c r="Q197" s="18" t="s">
        <v>864</v>
      </c>
      <c r="R197" s="17" t="s">
        <v>141</v>
      </c>
      <c r="S197" s="17" t="s">
        <v>142</v>
      </c>
      <c r="T197" s="17"/>
    </row>
    <row r="198" s="2" customFormat="1" ht="133" customHeight="1" spans="1:20">
      <c r="A198" s="17">
        <f t="shared" ref="A198:A207" si="25">ROW()-5</f>
        <v>193</v>
      </c>
      <c r="B198" s="17" t="s">
        <v>13</v>
      </c>
      <c r="C198" s="17" t="s">
        <v>23</v>
      </c>
      <c r="D198" s="17" t="s">
        <v>25</v>
      </c>
      <c r="E198" s="17" t="s">
        <v>865</v>
      </c>
      <c r="F198" s="21" t="s">
        <v>866</v>
      </c>
      <c r="G198" s="17" t="s">
        <v>362</v>
      </c>
      <c r="H198" s="17" t="s">
        <v>597</v>
      </c>
      <c r="I198" s="16">
        <f t="shared" si="22"/>
        <v>50</v>
      </c>
      <c r="J198" s="17">
        <v>50</v>
      </c>
      <c r="K198" s="16"/>
      <c r="L198" s="17" t="s">
        <v>139</v>
      </c>
      <c r="M198" s="17">
        <v>342</v>
      </c>
      <c r="N198" s="17">
        <v>969</v>
      </c>
      <c r="O198" s="17">
        <v>13</v>
      </c>
      <c r="P198" s="17">
        <v>22</v>
      </c>
      <c r="Q198" s="17" t="s">
        <v>867</v>
      </c>
      <c r="R198" s="17" t="s">
        <v>365</v>
      </c>
      <c r="S198" s="17" t="s">
        <v>142</v>
      </c>
      <c r="T198" s="17" t="s">
        <v>176</v>
      </c>
    </row>
    <row r="199" s="1" customFormat="1" ht="242" customHeight="1" spans="1:20">
      <c r="A199" s="17">
        <f t="shared" si="25"/>
        <v>194</v>
      </c>
      <c r="B199" s="17" t="s">
        <v>13</v>
      </c>
      <c r="C199" s="17" t="s">
        <v>23</v>
      </c>
      <c r="D199" s="17" t="s">
        <v>26</v>
      </c>
      <c r="E199" s="16" t="s">
        <v>868</v>
      </c>
      <c r="F199" s="18" t="s">
        <v>869</v>
      </c>
      <c r="G199" s="16" t="s">
        <v>412</v>
      </c>
      <c r="H199" s="20" t="s">
        <v>870</v>
      </c>
      <c r="I199" s="16">
        <f t="shared" si="22"/>
        <v>246</v>
      </c>
      <c r="J199" s="16">
        <v>246</v>
      </c>
      <c r="K199" s="16"/>
      <c r="L199" s="16" t="s">
        <v>139</v>
      </c>
      <c r="M199" s="16">
        <v>979</v>
      </c>
      <c r="N199" s="16">
        <v>2917</v>
      </c>
      <c r="O199" s="16">
        <v>23</v>
      </c>
      <c r="P199" s="16">
        <v>26</v>
      </c>
      <c r="Q199" s="18" t="s">
        <v>871</v>
      </c>
      <c r="R199" s="17" t="s">
        <v>415</v>
      </c>
      <c r="S199" s="17" t="s">
        <v>142</v>
      </c>
      <c r="T199" s="17" t="s">
        <v>872</v>
      </c>
    </row>
    <row r="200" s="1" customFormat="1" ht="186" customHeight="1" spans="1:20">
      <c r="A200" s="17">
        <f t="shared" si="25"/>
        <v>195</v>
      </c>
      <c r="B200" s="17" t="s">
        <v>13</v>
      </c>
      <c r="C200" s="19" t="s">
        <v>23</v>
      </c>
      <c r="D200" s="19" t="s">
        <v>26</v>
      </c>
      <c r="E200" s="16" t="s">
        <v>873</v>
      </c>
      <c r="F200" s="18" t="s">
        <v>874</v>
      </c>
      <c r="G200" s="16" t="s">
        <v>412</v>
      </c>
      <c r="H200" s="20" t="s">
        <v>875</v>
      </c>
      <c r="I200" s="16">
        <f t="shared" si="22"/>
        <v>85</v>
      </c>
      <c r="J200" s="16">
        <v>85</v>
      </c>
      <c r="K200" s="16"/>
      <c r="L200" s="16" t="s">
        <v>139</v>
      </c>
      <c r="M200" s="16">
        <v>366</v>
      </c>
      <c r="N200" s="16">
        <v>965</v>
      </c>
      <c r="O200" s="16">
        <v>9</v>
      </c>
      <c r="P200" s="20">
        <v>10</v>
      </c>
      <c r="Q200" s="18" t="s">
        <v>876</v>
      </c>
      <c r="R200" s="17" t="s">
        <v>415</v>
      </c>
      <c r="S200" s="17" t="s">
        <v>142</v>
      </c>
      <c r="T200" s="17"/>
    </row>
    <row r="201" s="1" customFormat="1" ht="145" customHeight="1" spans="1:20">
      <c r="A201" s="17">
        <f t="shared" si="25"/>
        <v>196</v>
      </c>
      <c r="B201" s="17" t="s">
        <v>13</v>
      </c>
      <c r="C201" s="19" t="s">
        <v>23</v>
      </c>
      <c r="D201" s="19" t="s">
        <v>26</v>
      </c>
      <c r="E201" s="16" t="s">
        <v>877</v>
      </c>
      <c r="F201" s="18" t="s">
        <v>878</v>
      </c>
      <c r="G201" s="16" t="s">
        <v>316</v>
      </c>
      <c r="H201" s="20" t="s">
        <v>337</v>
      </c>
      <c r="I201" s="16">
        <f t="shared" si="22"/>
        <v>195</v>
      </c>
      <c r="J201" s="16">
        <v>195</v>
      </c>
      <c r="K201" s="16"/>
      <c r="L201" s="16" t="s">
        <v>139</v>
      </c>
      <c r="M201" s="16">
        <v>3954</v>
      </c>
      <c r="N201" s="16">
        <v>9865</v>
      </c>
      <c r="O201" s="16">
        <v>110</v>
      </c>
      <c r="P201" s="20">
        <v>157</v>
      </c>
      <c r="Q201" s="18" t="s">
        <v>879</v>
      </c>
      <c r="R201" s="17" t="s">
        <v>319</v>
      </c>
      <c r="S201" s="17" t="s">
        <v>142</v>
      </c>
      <c r="T201" s="17" t="s">
        <v>176</v>
      </c>
    </row>
    <row r="202" s="1" customFormat="1" ht="174" customHeight="1" spans="1:20">
      <c r="A202" s="17">
        <f t="shared" si="25"/>
        <v>197</v>
      </c>
      <c r="B202" s="17" t="s">
        <v>13</v>
      </c>
      <c r="C202" s="19" t="s">
        <v>23</v>
      </c>
      <c r="D202" s="19" t="s">
        <v>26</v>
      </c>
      <c r="E202" s="16" t="s">
        <v>880</v>
      </c>
      <c r="F202" s="18" t="s">
        <v>881</v>
      </c>
      <c r="G202" s="16" t="s">
        <v>316</v>
      </c>
      <c r="H202" s="20" t="s">
        <v>337</v>
      </c>
      <c r="I202" s="16">
        <f t="shared" si="22"/>
        <v>185</v>
      </c>
      <c r="J202" s="16">
        <v>185</v>
      </c>
      <c r="K202" s="16"/>
      <c r="L202" s="16" t="s">
        <v>139</v>
      </c>
      <c r="M202" s="16">
        <v>3954</v>
      </c>
      <c r="N202" s="16">
        <v>9865</v>
      </c>
      <c r="O202" s="16">
        <v>110</v>
      </c>
      <c r="P202" s="20">
        <v>157</v>
      </c>
      <c r="Q202" s="18" t="s">
        <v>882</v>
      </c>
      <c r="R202" s="17" t="s">
        <v>319</v>
      </c>
      <c r="S202" s="17" t="s">
        <v>142</v>
      </c>
      <c r="T202" s="17" t="s">
        <v>176</v>
      </c>
    </row>
    <row r="203" s="1" customFormat="1" ht="225" customHeight="1" spans="1:20">
      <c r="A203" s="17">
        <f t="shared" si="25"/>
        <v>198</v>
      </c>
      <c r="B203" s="17" t="s">
        <v>13</v>
      </c>
      <c r="C203" s="19" t="s">
        <v>23</v>
      </c>
      <c r="D203" s="19" t="s">
        <v>26</v>
      </c>
      <c r="E203" s="16" t="s">
        <v>883</v>
      </c>
      <c r="F203" s="18" t="s">
        <v>884</v>
      </c>
      <c r="G203" s="16" t="s">
        <v>207</v>
      </c>
      <c r="H203" s="20" t="s">
        <v>885</v>
      </c>
      <c r="I203" s="16">
        <f t="shared" si="22"/>
        <v>230</v>
      </c>
      <c r="J203" s="16">
        <v>230</v>
      </c>
      <c r="K203" s="16"/>
      <c r="L203" s="16" t="s">
        <v>139</v>
      </c>
      <c r="M203" s="16">
        <v>585</v>
      </c>
      <c r="N203" s="16">
        <v>1596</v>
      </c>
      <c r="O203" s="16">
        <v>17</v>
      </c>
      <c r="P203" s="20">
        <v>32</v>
      </c>
      <c r="Q203" s="18" t="s">
        <v>886</v>
      </c>
      <c r="R203" s="17" t="s">
        <v>210</v>
      </c>
      <c r="S203" s="17" t="s">
        <v>142</v>
      </c>
      <c r="T203" s="17"/>
    </row>
    <row r="204" s="1" customFormat="1" ht="69.6" spans="1:20">
      <c r="A204" s="17">
        <f t="shared" si="25"/>
        <v>199</v>
      </c>
      <c r="B204" s="17" t="s">
        <v>13</v>
      </c>
      <c r="C204" s="19" t="s">
        <v>23</v>
      </c>
      <c r="D204" s="19" t="s">
        <v>26</v>
      </c>
      <c r="E204" s="16" t="s">
        <v>887</v>
      </c>
      <c r="F204" s="18" t="s">
        <v>888</v>
      </c>
      <c r="G204" s="16" t="s">
        <v>285</v>
      </c>
      <c r="H204" s="20" t="s">
        <v>291</v>
      </c>
      <c r="I204" s="16">
        <f t="shared" si="22"/>
        <v>6</v>
      </c>
      <c r="J204" s="16">
        <v>6</v>
      </c>
      <c r="K204" s="16"/>
      <c r="L204" s="16" t="s">
        <v>139</v>
      </c>
      <c r="M204" s="16">
        <v>3021</v>
      </c>
      <c r="N204" s="16">
        <v>8191</v>
      </c>
      <c r="O204" s="16">
        <v>56</v>
      </c>
      <c r="P204" s="20">
        <v>127</v>
      </c>
      <c r="Q204" s="18" t="s">
        <v>889</v>
      </c>
      <c r="R204" s="17" t="s">
        <v>288</v>
      </c>
      <c r="S204" s="17" t="s">
        <v>142</v>
      </c>
      <c r="T204" s="17"/>
    </row>
    <row r="205" ht="121.8" spans="1:20">
      <c r="A205" s="17">
        <f t="shared" si="25"/>
        <v>200</v>
      </c>
      <c r="B205" s="17" t="s">
        <v>13</v>
      </c>
      <c r="C205" s="17" t="s">
        <v>23</v>
      </c>
      <c r="D205" s="17" t="s">
        <v>27</v>
      </c>
      <c r="E205" s="17" t="s">
        <v>890</v>
      </c>
      <c r="F205" s="21" t="s">
        <v>891</v>
      </c>
      <c r="G205" s="17" t="s">
        <v>571</v>
      </c>
      <c r="H205" s="17" t="s">
        <v>572</v>
      </c>
      <c r="I205" s="16">
        <f t="shared" si="22"/>
        <v>29</v>
      </c>
      <c r="J205" s="17">
        <v>29</v>
      </c>
      <c r="K205" s="17"/>
      <c r="L205" s="17" t="s">
        <v>139</v>
      </c>
      <c r="M205" s="17">
        <v>329</v>
      </c>
      <c r="N205" s="17">
        <v>978</v>
      </c>
      <c r="O205" s="17">
        <v>9</v>
      </c>
      <c r="P205" s="17">
        <v>13</v>
      </c>
      <c r="Q205" s="21" t="s">
        <v>892</v>
      </c>
      <c r="R205" s="17" t="s">
        <v>574</v>
      </c>
      <c r="S205" s="17" t="s">
        <v>142</v>
      </c>
      <c r="T205" s="17"/>
    </row>
    <row r="206" ht="121.8" spans="1:20">
      <c r="A206" s="17">
        <f t="shared" si="25"/>
        <v>201</v>
      </c>
      <c r="B206" s="17" t="s">
        <v>13</v>
      </c>
      <c r="C206" s="17" t="s">
        <v>23</v>
      </c>
      <c r="D206" s="17" t="s">
        <v>27</v>
      </c>
      <c r="E206" s="17" t="s">
        <v>893</v>
      </c>
      <c r="F206" s="21" t="s">
        <v>894</v>
      </c>
      <c r="G206" s="32" t="s">
        <v>168</v>
      </c>
      <c r="H206" s="32" t="s">
        <v>453</v>
      </c>
      <c r="I206" s="16">
        <f t="shared" si="22"/>
        <v>25</v>
      </c>
      <c r="J206" s="17">
        <v>25</v>
      </c>
      <c r="K206" s="17"/>
      <c r="L206" s="17" t="s">
        <v>139</v>
      </c>
      <c r="M206" s="17">
        <v>444</v>
      </c>
      <c r="N206" s="17">
        <v>1088</v>
      </c>
      <c r="O206" s="17">
        <v>11</v>
      </c>
      <c r="P206" s="17">
        <v>20</v>
      </c>
      <c r="Q206" s="21" t="s">
        <v>895</v>
      </c>
      <c r="R206" s="32" t="s">
        <v>455</v>
      </c>
      <c r="S206" s="17" t="s">
        <v>142</v>
      </c>
      <c r="T206" s="17"/>
    </row>
    <row r="207" s="1" customFormat="1" ht="69.6" spans="1:20">
      <c r="A207" s="17">
        <f t="shared" si="25"/>
        <v>202</v>
      </c>
      <c r="B207" s="17" t="s">
        <v>13</v>
      </c>
      <c r="C207" s="17" t="s">
        <v>28</v>
      </c>
      <c r="D207" s="17" t="s">
        <v>29</v>
      </c>
      <c r="E207" s="17" t="s">
        <v>896</v>
      </c>
      <c r="F207" s="21" t="s">
        <v>897</v>
      </c>
      <c r="G207" s="17" t="s">
        <v>173</v>
      </c>
      <c r="H207" s="17" t="s">
        <v>179</v>
      </c>
      <c r="I207" s="16">
        <f t="shared" si="22"/>
        <v>30</v>
      </c>
      <c r="J207" s="17">
        <v>30</v>
      </c>
      <c r="K207" s="17"/>
      <c r="L207" s="17" t="s">
        <v>139</v>
      </c>
      <c r="M207" s="17">
        <v>403</v>
      </c>
      <c r="N207" s="17">
        <v>1036</v>
      </c>
      <c r="O207" s="17">
        <v>13</v>
      </c>
      <c r="P207" s="17">
        <v>23</v>
      </c>
      <c r="Q207" s="21" t="s">
        <v>898</v>
      </c>
      <c r="R207" s="17" t="s">
        <v>173</v>
      </c>
      <c r="S207" s="17" t="s">
        <v>142</v>
      </c>
      <c r="T207" s="17"/>
    </row>
    <row r="208" s="1" customFormat="1" ht="69.6" spans="1:20">
      <c r="A208" s="17">
        <f t="shared" ref="A208:A217" si="26">ROW()-5</f>
        <v>203</v>
      </c>
      <c r="B208" s="17" t="s">
        <v>13</v>
      </c>
      <c r="C208" s="17" t="s">
        <v>28</v>
      </c>
      <c r="D208" s="17" t="s">
        <v>29</v>
      </c>
      <c r="E208" s="17" t="s">
        <v>899</v>
      </c>
      <c r="F208" s="21" t="s">
        <v>900</v>
      </c>
      <c r="G208" s="17" t="s">
        <v>173</v>
      </c>
      <c r="H208" s="17" t="s">
        <v>179</v>
      </c>
      <c r="I208" s="16">
        <f t="shared" si="22"/>
        <v>45</v>
      </c>
      <c r="J208" s="17">
        <v>45</v>
      </c>
      <c r="K208" s="17"/>
      <c r="L208" s="17" t="s">
        <v>139</v>
      </c>
      <c r="M208" s="17">
        <v>403</v>
      </c>
      <c r="N208" s="17">
        <v>1036</v>
      </c>
      <c r="O208" s="17">
        <v>13</v>
      </c>
      <c r="P208" s="17">
        <v>23</v>
      </c>
      <c r="Q208" s="21" t="s">
        <v>901</v>
      </c>
      <c r="R208" s="17" t="s">
        <v>173</v>
      </c>
      <c r="S208" s="17" t="s">
        <v>142</v>
      </c>
      <c r="T208" s="17"/>
    </row>
    <row r="209" ht="69.6" spans="1:20">
      <c r="A209" s="17">
        <f t="shared" si="26"/>
        <v>204</v>
      </c>
      <c r="B209" s="17" t="s">
        <v>13</v>
      </c>
      <c r="C209" s="17" t="s">
        <v>28</v>
      </c>
      <c r="D209" s="17" t="s">
        <v>29</v>
      </c>
      <c r="E209" s="17" t="s">
        <v>902</v>
      </c>
      <c r="F209" s="21" t="s">
        <v>903</v>
      </c>
      <c r="G209" s="17" t="s">
        <v>173</v>
      </c>
      <c r="H209" s="17" t="s">
        <v>174</v>
      </c>
      <c r="I209" s="16">
        <f t="shared" si="22"/>
        <v>45</v>
      </c>
      <c r="J209" s="17">
        <v>45</v>
      </c>
      <c r="K209" s="17"/>
      <c r="L209" s="17" t="s">
        <v>139</v>
      </c>
      <c r="M209" s="17">
        <v>443</v>
      </c>
      <c r="N209" s="17">
        <v>1123</v>
      </c>
      <c r="O209" s="17">
        <v>8</v>
      </c>
      <c r="P209" s="17">
        <v>14</v>
      </c>
      <c r="Q209" s="21" t="s">
        <v>904</v>
      </c>
      <c r="R209" s="17" t="s">
        <v>173</v>
      </c>
      <c r="S209" s="17" t="s">
        <v>142</v>
      </c>
      <c r="T209" s="17" t="s">
        <v>176</v>
      </c>
    </row>
    <row r="210" ht="88" customHeight="1" spans="1:20">
      <c r="A210" s="17">
        <f t="shared" si="26"/>
        <v>205</v>
      </c>
      <c r="B210" s="17" t="s">
        <v>13</v>
      </c>
      <c r="C210" s="17" t="s">
        <v>28</v>
      </c>
      <c r="D210" s="17" t="s">
        <v>29</v>
      </c>
      <c r="E210" s="17" t="s">
        <v>905</v>
      </c>
      <c r="F210" s="21" t="s">
        <v>906</v>
      </c>
      <c r="G210" s="17" t="s">
        <v>591</v>
      </c>
      <c r="H210" s="17" t="s">
        <v>731</v>
      </c>
      <c r="I210" s="16">
        <f t="shared" si="22"/>
        <v>138</v>
      </c>
      <c r="J210" s="17">
        <v>138</v>
      </c>
      <c r="K210" s="17"/>
      <c r="L210" s="17" t="s">
        <v>139</v>
      </c>
      <c r="M210" s="17">
        <v>63</v>
      </c>
      <c r="N210" s="17">
        <v>214</v>
      </c>
      <c r="O210" s="17">
        <v>2</v>
      </c>
      <c r="P210" s="17">
        <v>5</v>
      </c>
      <c r="Q210" s="21" t="s">
        <v>907</v>
      </c>
      <c r="R210" s="17" t="s">
        <v>594</v>
      </c>
      <c r="S210" s="17" t="s">
        <v>142</v>
      </c>
      <c r="T210" s="17" t="s">
        <v>176</v>
      </c>
    </row>
    <row r="211" ht="52.2" spans="1:20">
      <c r="A211" s="17">
        <f t="shared" si="26"/>
        <v>206</v>
      </c>
      <c r="B211" s="17" t="s">
        <v>13</v>
      </c>
      <c r="C211" s="17" t="s">
        <v>31</v>
      </c>
      <c r="D211" s="19" t="s">
        <v>32</v>
      </c>
      <c r="E211" s="17" t="s">
        <v>908</v>
      </c>
      <c r="F211" s="21" t="s">
        <v>909</v>
      </c>
      <c r="G211" s="17" t="s">
        <v>137</v>
      </c>
      <c r="H211" s="19" t="s">
        <v>154</v>
      </c>
      <c r="I211" s="16">
        <f t="shared" si="22"/>
        <v>444</v>
      </c>
      <c r="J211" s="17">
        <v>70</v>
      </c>
      <c r="K211" s="17">
        <v>374</v>
      </c>
      <c r="L211" s="17" t="s">
        <v>139</v>
      </c>
      <c r="M211" s="17">
        <v>712</v>
      </c>
      <c r="N211" s="17">
        <v>1763</v>
      </c>
      <c r="O211" s="17">
        <v>35</v>
      </c>
      <c r="P211" s="19">
        <v>71</v>
      </c>
      <c r="Q211" s="21" t="s">
        <v>910</v>
      </c>
      <c r="R211" s="17" t="s">
        <v>142</v>
      </c>
      <c r="S211" s="17" t="s">
        <v>142</v>
      </c>
      <c r="T211" s="17"/>
    </row>
    <row r="212" s="1" customFormat="1" ht="139.2" spans="1:20">
      <c r="A212" s="17">
        <f t="shared" si="26"/>
        <v>207</v>
      </c>
      <c r="B212" s="17" t="s">
        <v>13</v>
      </c>
      <c r="C212" s="19" t="s">
        <v>31</v>
      </c>
      <c r="D212" s="19" t="s">
        <v>33</v>
      </c>
      <c r="E212" s="16" t="s">
        <v>911</v>
      </c>
      <c r="F212" s="18" t="s">
        <v>912</v>
      </c>
      <c r="G212" s="16" t="s">
        <v>913</v>
      </c>
      <c r="H212" s="20" t="s">
        <v>227</v>
      </c>
      <c r="I212" s="16">
        <f t="shared" si="22"/>
        <v>12</v>
      </c>
      <c r="J212" s="16">
        <v>12</v>
      </c>
      <c r="K212" s="16"/>
      <c r="L212" s="16" t="s">
        <v>139</v>
      </c>
      <c r="M212" s="16">
        <v>30000</v>
      </c>
      <c r="N212" s="16">
        <v>50000</v>
      </c>
      <c r="O212" s="16"/>
      <c r="P212" s="20"/>
      <c r="Q212" s="18" t="s">
        <v>914</v>
      </c>
      <c r="R212" s="17" t="s">
        <v>142</v>
      </c>
      <c r="S212" s="17" t="s">
        <v>142</v>
      </c>
      <c r="T212" s="17"/>
    </row>
    <row r="213" s="1" customFormat="1" ht="87" spans="1:20">
      <c r="A213" s="17">
        <f t="shared" si="26"/>
        <v>208</v>
      </c>
      <c r="B213" s="17" t="s">
        <v>13</v>
      </c>
      <c r="C213" s="19" t="s">
        <v>31</v>
      </c>
      <c r="D213" s="19" t="s">
        <v>35</v>
      </c>
      <c r="E213" s="16" t="s">
        <v>915</v>
      </c>
      <c r="F213" s="18" t="s">
        <v>916</v>
      </c>
      <c r="G213" s="16" t="s">
        <v>429</v>
      </c>
      <c r="H213" s="20" t="s">
        <v>430</v>
      </c>
      <c r="I213" s="16">
        <f t="shared" si="22"/>
        <v>45</v>
      </c>
      <c r="J213" s="16">
        <v>45</v>
      </c>
      <c r="K213" s="16"/>
      <c r="L213" s="16" t="s">
        <v>139</v>
      </c>
      <c r="M213" s="16">
        <v>425</v>
      </c>
      <c r="N213" s="16">
        <v>1150</v>
      </c>
      <c r="O213" s="16">
        <v>14</v>
      </c>
      <c r="P213" s="20">
        <v>31</v>
      </c>
      <c r="Q213" s="18" t="s">
        <v>917</v>
      </c>
      <c r="R213" s="17" t="s">
        <v>432</v>
      </c>
      <c r="S213" s="17" t="s">
        <v>142</v>
      </c>
      <c r="T213" s="17" t="s">
        <v>433</v>
      </c>
    </row>
    <row r="214" s="1" customFormat="1" ht="111" customHeight="1" spans="1:20">
      <c r="A214" s="17">
        <f t="shared" si="26"/>
        <v>209</v>
      </c>
      <c r="B214" s="17" t="s">
        <v>13</v>
      </c>
      <c r="C214" s="19" t="s">
        <v>31</v>
      </c>
      <c r="D214" s="19" t="s">
        <v>35</v>
      </c>
      <c r="E214" s="16" t="s">
        <v>918</v>
      </c>
      <c r="F214" s="18" t="s">
        <v>919</v>
      </c>
      <c r="G214" s="16" t="s">
        <v>362</v>
      </c>
      <c r="H214" s="20" t="s">
        <v>767</v>
      </c>
      <c r="I214" s="16">
        <f t="shared" si="22"/>
        <v>70.78</v>
      </c>
      <c r="J214" s="16">
        <v>70.78</v>
      </c>
      <c r="K214" s="16"/>
      <c r="L214" s="16" t="s">
        <v>139</v>
      </c>
      <c r="M214" s="16">
        <v>302</v>
      </c>
      <c r="N214" s="16">
        <v>825</v>
      </c>
      <c r="O214" s="16">
        <v>22</v>
      </c>
      <c r="P214" s="20">
        <v>39</v>
      </c>
      <c r="Q214" s="18" t="s">
        <v>920</v>
      </c>
      <c r="R214" s="17" t="s">
        <v>365</v>
      </c>
      <c r="S214" s="17" t="s">
        <v>142</v>
      </c>
      <c r="T214" s="17"/>
    </row>
    <row r="215" s="1" customFormat="1" ht="214" customHeight="1" spans="1:20">
      <c r="A215" s="17">
        <f t="shared" si="26"/>
        <v>210</v>
      </c>
      <c r="B215" s="17" t="s">
        <v>13</v>
      </c>
      <c r="C215" s="19" t="s">
        <v>31</v>
      </c>
      <c r="D215" s="19" t="s">
        <v>35</v>
      </c>
      <c r="E215" s="16" t="s">
        <v>921</v>
      </c>
      <c r="F215" s="18" t="s">
        <v>922</v>
      </c>
      <c r="G215" s="16" t="s">
        <v>137</v>
      </c>
      <c r="H215" s="20" t="s">
        <v>923</v>
      </c>
      <c r="I215" s="16">
        <f t="shared" si="22"/>
        <v>83.55</v>
      </c>
      <c r="J215" s="16">
        <v>83.55</v>
      </c>
      <c r="K215" s="16"/>
      <c r="L215" s="16" t="s">
        <v>139</v>
      </c>
      <c r="M215" s="16">
        <v>4282</v>
      </c>
      <c r="N215" s="16">
        <v>10678</v>
      </c>
      <c r="O215" s="16">
        <v>352</v>
      </c>
      <c r="P215" s="20">
        <v>702</v>
      </c>
      <c r="Q215" s="18" t="s">
        <v>924</v>
      </c>
      <c r="R215" s="17" t="s">
        <v>141</v>
      </c>
      <c r="S215" s="17" t="s">
        <v>142</v>
      </c>
      <c r="T215" s="17"/>
    </row>
    <row r="216" s="1" customFormat="1" ht="159" customHeight="1" spans="1:20">
      <c r="A216" s="17">
        <f t="shared" si="26"/>
        <v>211</v>
      </c>
      <c r="B216" s="17" t="s">
        <v>13</v>
      </c>
      <c r="C216" s="19" t="s">
        <v>31</v>
      </c>
      <c r="D216" s="19" t="s">
        <v>35</v>
      </c>
      <c r="E216" s="16" t="s">
        <v>925</v>
      </c>
      <c r="F216" s="18" t="s">
        <v>926</v>
      </c>
      <c r="G216" s="16" t="s">
        <v>213</v>
      </c>
      <c r="H216" s="20" t="s">
        <v>214</v>
      </c>
      <c r="I216" s="16">
        <f t="shared" si="22"/>
        <v>185.2</v>
      </c>
      <c r="J216" s="16">
        <v>185.2</v>
      </c>
      <c r="K216" s="16"/>
      <c r="L216" s="16" t="s">
        <v>139</v>
      </c>
      <c r="M216" s="16">
        <v>3842</v>
      </c>
      <c r="N216" s="16">
        <v>10430</v>
      </c>
      <c r="O216" s="16">
        <v>294</v>
      </c>
      <c r="P216" s="20">
        <v>640</v>
      </c>
      <c r="Q216" s="18" t="s">
        <v>927</v>
      </c>
      <c r="R216" s="17" t="s">
        <v>216</v>
      </c>
      <c r="S216" s="17" t="s">
        <v>142</v>
      </c>
      <c r="T216" s="17"/>
    </row>
    <row r="217" s="1" customFormat="1" ht="91" customHeight="1" spans="1:20">
      <c r="A217" s="17">
        <f t="shared" si="26"/>
        <v>212</v>
      </c>
      <c r="B217" s="17" t="s">
        <v>13</v>
      </c>
      <c r="C217" s="19" t="s">
        <v>31</v>
      </c>
      <c r="D217" s="19" t="s">
        <v>35</v>
      </c>
      <c r="E217" s="16" t="s">
        <v>928</v>
      </c>
      <c r="F217" s="18" t="s">
        <v>929</v>
      </c>
      <c r="G217" s="16" t="s">
        <v>362</v>
      </c>
      <c r="H217" s="20" t="s">
        <v>371</v>
      </c>
      <c r="I217" s="16">
        <f t="shared" si="22"/>
        <v>13.09</v>
      </c>
      <c r="J217" s="16">
        <v>13.09</v>
      </c>
      <c r="K217" s="16"/>
      <c r="L217" s="16" t="s">
        <v>139</v>
      </c>
      <c r="M217" s="16">
        <v>356</v>
      </c>
      <c r="N217" s="16">
        <v>962</v>
      </c>
      <c r="O217" s="16">
        <v>12</v>
      </c>
      <c r="P217" s="20">
        <v>18</v>
      </c>
      <c r="Q217" s="18" t="s">
        <v>930</v>
      </c>
      <c r="R217" s="17" t="s">
        <v>365</v>
      </c>
      <c r="S217" s="17" t="s">
        <v>142</v>
      </c>
      <c r="T217" s="17" t="s">
        <v>176</v>
      </c>
    </row>
    <row r="218" ht="69.6" spans="1:20">
      <c r="A218" s="17">
        <f t="shared" ref="A218:A227" si="27">ROW()-5</f>
        <v>213</v>
      </c>
      <c r="B218" s="17" t="s">
        <v>13</v>
      </c>
      <c r="C218" s="19" t="s">
        <v>31</v>
      </c>
      <c r="D218" s="19" t="s">
        <v>35</v>
      </c>
      <c r="E218" s="17" t="s">
        <v>931</v>
      </c>
      <c r="F218" s="21" t="s">
        <v>932</v>
      </c>
      <c r="G218" s="17" t="s">
        <v>362</v>
      </c>
      <c r="H218" s="17" t="s">
        <v>503</v>
      </c>
      <c r="I218" s="16">
        <f t="shared" si="22"/>
        <v>6.795</v>
      </c>
      <c r="J218" s="17">
        <v>6.795</v>
      </c>
      <c r="K218" s="17"/>
      <c r="L218" s="17" t="s">
        <v>139</v>
      </c>
      <c r="M218" s="17">
        <v>317</v>
      </c>
      <c r="N218" s="17">
        <v>831</v>
      </c>
      <c r="O218" s="17">
        <v>16</v>
      </c>
      <c r="P218" s="17">
        <v>25</v>
      </c>
      <c r="Q218" s="21" t="s">
        <v>933</v>
      </c>
      <c r="R218" s="17" t="s">
        <v>365</v>
      </c>
      <c r="S218" s="17" t="s">
        <v>142</v>
      </c>
      <c r="T218" s="17"/>
    </row>
    <row r="219" ht="87" spans="1:20">
      <c r="A219" s="17">
        <f t="shared" si="27"/>
        <v>214</v>
      </c>
      <c r="B219" s="17" t="s">
        <v>13</v>
      </c>
      <c r="C219" s="17" t="s">
        <v>31</v>
      </c>
      <c r="D219" s="17" t="s">
        <v>35</v>
      </c>
      <c r="E219" s="17" t="s">
        <v>934</v>
      </c>
      <c r="F219" s="21" t="s">
        <v>935</v>
      </c>
      <c r="G219" s="33" t="s">
        <v>247</v>
      </c>
      <c r="H219" s="33" t="s">
        <v>624</v>
      </c>
      <c r="I219" s="16">
        <f t="shared" si="22"/>
        <v>30</v>
      </c>
      <c r="J219" s="34">
        <v>30</v>
      </c>
      <c r="K219" s="17"/>
      <c r="L219" s="33" t="s">
        <v>139</v>
      </c>
      <c r="M219" s="17">
        <v>473</v>
      </c>
      <c r="N219" s="17">
        <v>1394</v>
      </c>
      <c r="O219" s="17">
        <v>8</v>
      </c>
      <c r="P219" s="17">
        <v>14</v>
      </c>
      <c r="Q219" s="21" t="s">
        <v>936</v>
      </c>
      <c r="R219" s="33" t="s">
        <v>250</v>
      </c>
      <c r="S219" s="17" t="s">
        <v>142</v>
      </c>
      <c r="T219" s="17" t="s">
        <v>176</v>
      </c>
    </row>
    <row r="220" s="1" customFormat="1" ht="107" customHeight="1" spans="1:20">
      <c r="A220" s="17">
        <f t="shared" si="27"/>
        <v>215</v>
      </c>
      <c r="B220" s="17" t="s">
        <v>13</v>
      </c>
      <c r="C220" s="19" t="s">
        <v>36</v>
      </c>
      <c r="D220" s="19" t="s">
        <v>37</v>
      </c>
      <c r="E220" s="16" t="s">
        <v>937</v>
      </c>
      <c r="F220" s="18" t="s">
        <v>938</v>
      </c>
      <c r="G220" s="16" t="s">
        <v>913</v>
      </c>
      <c r="H220" s="20" t="s">
        <v>939</v>
      </c>
      <c r="I220" s="16">
        <f t="shared" ref="I220:I283" si="28">J220+K220</f>
        <v>50</v>
      </c>
      <c r="J220" s="16">
        <v>50</v>
      </c>
      <c r="K220" s="16"/>
      <c r="L220" s="16" t="s">
        <v>139</v>
      </c>
      <c r="M220" s="16">
        <v>300</v>
      </c>
      <c r="N220" s="16">
        <v>800</v>
      </c>
      <c r="O220" s="16">
        <v>300</v>
      </c>
      <c r="P220" s="20">
        <v>800</v>
      </c>
      <c r="Q220" s="18" t="s">
        <v>940</v>
      </c>
      <c r="R220" s="17" t="s">
        <v>941</v>
      </c>
      <c r="S220" s="17" t="s">
        <v>941</v>
      </c>
      <c r="T220" s="17"/>
    </row>
    <row r="221" s="1" customFormat="1" ht="119" customHeight="1" spans="1:20">
      <c r="A221" s="17">
        <f t="shared" si="27"/>
        <v>216</v>
      </c>
      <c r="B221" s="17" t="s">
        <v>13</v>
      </c>
      <c r="C221" s="19" t="s">
        <v>36</v>
      </c>
      <c r="D221" s="19" t="s">
        <v>41</v>
      </c>
      <c r="E221" s="16" t="s">
        <v>942</v>
      </c>
      <c r="F221" s="18" t="s">
        <v>943</v>
      </c>
      <c r="G221" s="16" t="s">
        <v>913</v>
      </c>
      <c r="H221" s="20" t="s">
        <v>939</v>
      </c>
      <c r="I221" s="16">
        <f t="shared" si="28"/>
        <v>1</v>
      </c>
      <c r="J221" s="16">
        <v>1</v>
      </c>
      <c r="K221" s="16"/>
      <c r="L221" s="16" t="s">
        <v>139</v>
      </c>
      <c r="M221" s="16">
        <v>192</v>
      </c>
      <c r="N221" s="16">
        <v>536</v>
      </c>
      <c r="O221" s="16">
        <v>192</v>
      </c>
      <c r="P221" s="20">
        <v>536</v>
      </c>
      <c r="Q221" s="18" t="s">
        <v>944</v>
      </c>
      <c r="R221" s="17" t="s">
        <v>941</v>
      </c>
      <c r="S221" s="17" t="s">
        <v>941</v>
      </c>
      <c r="T221" s="17"/>
    </row>
    <row r="222" s="1" customFormat="1" ht="113" customHeight="1" spans="1:20">
      <c r="A222" s="17">
        <f t="shared" si="27"/>
        <v>217</v>
      </c>
      <c r="B222" s="17" t="s">
        <v>42</v>
      </c>
      <c r="C222" s="19" t="s">
        <v>43</v>
      </c>
      <c r="D222" s="19" t="s">
        <v>44</v>
      </c>
      <c r="E222" s="16" t="s">
        <v>945</v>
      </c>
      <c r="F222" s="18" t="s">
        <v>946</v>
      </c>
      <c r="G222" s="16" t="s">
        <v>913</v>
      </c>
      <c r="H222" s="20" t="s">
        <v>939</v>
      </c>
      <c r="I222" s="16">
        <f t="shared" si="28"/>
        <v>10</v>
      </c>
      <c r="J222" s="16">
        <v>10</v>
      </c>
      <c r="K222" s="16"/>
      <c r="L222" s="16" t="s">
        <v>139</v>
      </c>
      <c r="M222" s="16">
        <v>200</v>
      </c>
      <c r="N222" s="16">
        <v>200</v>
      </c>
      <c r="O222" s="16">
        <v>200</v>
      </c>
      <c r="P222" s="20">
        <v>200</v>
      </c>
      <c r="Q222" s="18" t="s">
        <v>947</v>
      </c>
      <c r="R222" s="17" t="s">
        <v>941</v>
      </c>
      <c r="S222" s="17" t="s">
        <v>941</v>
      </c>
      <c r="T222" s="17"/>
    </row>
    <row r="223" s="1" customFormat="1" ht="99" customHeight="1" spans="1:20">
      <c r="A223" s="17">
        <f t="shared" si="27"/>
        <v>218</v>
      </c>
      <c r="B223" s="17" t="s">
        <v>42</v>
      </c>
      <c r="C223" s="19" t="s">
        <v>43</v>
      </c>
      <c r="D223" s="19" t="s">
        <v>45</v>
      </c>
      <c r="E223" s="16" t="s">
        <v>948</v>
      </c>
      <c r="F223" s="18" t="s">
        <v>949</v>
      </c>
      <c r="G223" s="16" t="s">
        <v>913</v>
      </c>
      <c r="H223" s="20" t="s">
        <v>939</v>
      </c>
      <c r="I223" s="16">
        <f t="shared" si="28"/>
        <v>2</v>
      </c>
      <c r="J223" s="16"/>
      <c r="K223" s="16">
        <v>2</v>
      </c>
      <c r="L223" s="16" t="s">
        <v>139</v>
      </c>
      <c r="M223" s="16">
        <v>40</v>
      </c>
      <c r="N223" s="16">
        <v>40</v>
      </c>
      <c r="O223" s="16">
        <v>40</v>
      </c>
      <c r="P223" s="20">
        <v>40</v>
      </c>
      <c r="Q223" s="18" t="s">
        <v>950</v>
      </c>
      <c r="R223" s="17" t="s">
        <v>951</v>
      </c>
      <c r="S223" s="17" t="s">
        <v>951</v>
      </c>
      <c r="T223" s="17"/>
    </row>
    <row r="224" s="1" customFormat="1" ht="111" customHeight="1" spans="1:20">
      <c r="A224" s="17">
        <f t="shared" si="27"/>
        <v>219</v>
      </c>
      <c r="B224" s="17" t="s">
        <v>42</v>
      </c>
      <c r="C224" s="19" t="s">
        <v>46</v>
      </c>
      <c r="D224" s="19" t="s">
        <v>48</v>
      </c>
      <c r="E224" s="16" t="s">
        <v>952</v>
      </c>
      <c r="F224" s="18" t="s">
        <v>953</v>
      </c>
      <c r="G224" s="16" t="s">
        <v>913</v>
      </c>
      <c r="H224" s="20" t="s">
        <v>939</v>
      </c>
      <c r="I224" s="16">
        <f t="shared" si="28"/>
        <v>2.5</v>
      </c>
      <c r="J224" s="16">
        <v>2.5</v>
      </c>
      <c r="K224" s="16"/>
      <c r="L224" s="16" t="s">
        <v>139</v>
      </c>
      <c r="M224" s="16">
        <v>50</v>
      </c>
      <c r="N224" s="16">
        <v>50</v>
      </c>
      <c r="O224" s="16">
        <v>50</v>
      </c>
      <c r="P224" s="20">
        <v>50</v>
      </c>
      <c r="Q224" s="18" t="s">
        <v>954</v>
      </c>
      <c r="R224" s="17" t="s">
        <v>951</v>
      </c>
      <c r="S224" s="17" t="s">
        <v>951</v>
      </c>
      <c r="T224" s="17"/>
    </row>
    <row r="225" s="1" customFormat="1" ht="88" customHeight="1" spans="1:20">
      <c r="A225" s="17">
        <f t="shared" si="27"/>
        <v>220</v>
      </c>
      <c r="B225" s="17" t="s">
        <v>42</v>
      </c>
      <c r="C225" s="19" t="s">
        <v>50</v>
      </c>
      <c r="D225" s="19" t="s">
        <v>51</v>
      </c>
      <c r="E225" s="16" t="s">
        <v>955</v>
      </c>
      <c r="F225" s="18" t="s">
        <v>956</v>
      </c>
      <c r="G225" s="16" t="s">
        <v>957</v>
      </c>
      <c r="H225" s="20" t="s">
        <v>958</v>
      </c>
      <c r="I225" s="16">
        <f t="shared" si="28"/>
        <v>15</v>
      </c>
      <c r="J225" s="16">
        <v>15</v>
      </c>
      <c r="K225" s="16"/>
      <c r="L225" s="16" t="s">
        <v>139</v>
      </c>
      <c r="M225" s="16">
        <v>296</v>
      </c>
      <c r="N225" s="16">
        <v>572</v>
      </c>
      <c r="O225" s="16">
        <v>296</v>
      </c>
      <c r="P225" s="20">
        <v>572</v>
      </c>
      <c r="Q225" s="18" t="s">
        <v>959</v>
      </c>
      <c r="R225" s="17" t="s">
        <v>941</v>
      </c>
      <c r="S225" s="17" t="s">
        <v>941</v>
      </c>
      <c r="T225" s="17"/>
    </row>
    <row r="226" s="1" customFormat="1" ht="106" customHeight="1" spans="1:20">
      <c r="A226" s="17">
        <f t="shared" si="27"/>
        <v>221</v>
      </c>
      <c r="B226" s="17" t="s">
        <v>42</v>
      </c>
      <c r="C226" s="19" t="s">
        <v>50</v>
      </c>
      <c r="D226" s="19" t="s">
        <v>52</v>
      </c>
      <c r="E226" s="16" t="s">
        <v>960</v>
      </c>
      <c r="F226" s="18" t="s">
        <v>961</v>
      </c>
      <c r="G226" s="16" t="s">
        <v>913</v>
      </c>
      <c r="H226" s="20" t="s">
        <v>939</v>
      </c>
      <c r="I226" s="16">
        <f t="shared" si="28"/>
        <v>1</v>
      </c>
      <c r="J226" s="16"/>
      <c r="K226" s="16">
        <v>1</v>
      </c>
      <c r="L226" s="16" t="s">
        <v>139</v>
      </c>
      <c r="M226" s="16">
        <v>2</v>
      </c>
      <c r="N226" s="16">
        <v>2</v>
      </c>
      <c r="O226" s="16">
        <v>2</v>
      </c>
      <c r="P226" s="20">
        <v>2</v>
      </c>
      <c r="Q226" s="18" t="s">
        <v>962</v>
      </c>
      <c r="R226" s="17" t="s">
        <v>951</v>
      </c>
      <c r="S226" s="17" t="s">
        <v>951</v>
      </c>
      <c r="T226" s="17"/>
    </row>
    <row r="227" s="1" customFormat="1" ht="102" customHeight="1" spans="1:20">
      <c r="A227" s="17">
        <f t="shared" si="27"/>
        <v>222</v>
      </c>
      <c r="B227" s="17" t="s">
        <v>42</v>
      </c>
      <c r="C227" s="19" t="s">
        <v>57</v>
      </c>
      <c r="D227" s="19" t="s">
        <v>57</v>
      </c>
      <c r="E227" s="16" t="s">
        <v>963</v>
      </c>
      <c r="F227" s="18" t="s">
        <v>964</v>
      </c>
      <c r="G227" s="16" t="s">
        <v>913</v>
      </c>
      <c r="H227" s="20" t="s">
        <v>939</v>
      </c>
      <c r="I227" s="16">
        <f t="shared" si="28"/>
        <v>159.12</v>
      </c>
      <c r="J227" s="16"/>
      <c r="K227" s="16">
        <v>159.12</v>
      </c>
      <c r="L227" s="16" t="s">
        <v>139</v>
      </c>
      <c r="M227" s="16">
        <v>221</v>
      </c>
      <c r="N227" s="16">
        <v>221</v>
      </c>
      <c r="O227" s="16">
        <v>221</v>
      </c>
      <c r="P227" s="20">
        <v>221</v>
      </c>
      <c r="Q227" s="18" t="s">
        <v>965</v>
      </c>
      <c r="R227" s="17" t="s">
        <v>951</v>
      </c>
      <c r="S227" s="17" t="s">
        <v>951</v>
      </c>
      <c r="T227" s="17"/>
    </row>
    <row r="228" s="1" customFormat="1" ht="113" customHeight="1" spans="1:20">
      <c r="A228" s="17">
        <f t="shared" ref="A228:A237" si="29">ROW()-5</f>
        <v>223</v>
      </c>
      <c r="B228" s="17" t="s">
        <v>42</v>
      </c>
      <c r="C228" s="19" t="s">
        <v>57</v>
      </c>
      <c r="D228" s="19" t="s">
        <v>57</v>
      </c>
      <c r="E228" s="16" t="s">
        <v>966</v>
      </c>
      <c r="F228" s="18" t="s">
        <v>967</v>
      </c>
      <c r="G228" s="16" t="s">
        <v>913</v>
      </c>
      <c r="H228" s="20" t="s">
        <v>939</v>
      </c>
      <c r="I228" s="16">
        <f t="shared" si="28"/>
        <v>108.48</v>
      </c>
      <c r="J228" s="16"/>
      <c r="K228" s="16">
        <v>108.48</v>
      </c>
      <c r="L228" s="16" t="s">
        <v>139</v>
      </c>
      <c r="M228" s="16">
        <v>226</v>
      </c>
      <c r="N228" s="16">
        <v>226</v>
      </c>
      <c r="O228" s="16">
        <v>226</v>
      </c>
      <c r="P228" s="20">
        <v>226</v>
      </c>
      <c r="Q228" s="18" t="s">
        <v>968</v>
      </c>
      <c r="R228" s="17" t="s">
        <v>951</v>
      </c>
      <c r="S228" s="17" t="s">
        <v>951</v>
      </c>
      <c r="T228" s="17"/>
    </row>
    <row r="229" s="1" customFormat="1" ht="109" customHeight="1" spans="1:20">
      <c r="A229" s="17">
        <f t="shared" si="29"/>
        <v>224</v>
      </c>
      <c r="B229" s="17" t="s">
        <v>42</v>
      </c>
      <c r="C229" s="19" t="s">
        <v>57</v>
      </c>
      <c r="D229" s="19" t="s">
        <v>57</v>
      </c>
      <c r="E229" s="16" t="s">
        <v>969</v>
      </c>
      <c r="F229" s="18" t="s">
        <v>970</v>
      </c>
      <c r="G229" s="16" t="s">
        <v>913</v>
      </c>
      <c r="H229" s="20" t="s">
        <v>939</v>
      </c>
      <c r="I229" s="16">
        <f t="shared" si="28"/>
        <v>8.4</v>
      </c>
      <c r="J229" s="16"/>
      <c r="K229" s="16">
        <v>8.4</v>
      </c>
      <c r="L229" s="16" t="s">
        <v>139</v>
      </c>
      <c r="M229" s="16">
        <v>14</v>
      </c>
      <c r="N229" s="16">
        <v>14</v>
      </c>
      <c r="O229" s="16">
        <v>14</v>
      </c>
      <c r="P229" s="20">
        <v>14</v>
      </c>
      <c r="Q229" s="18" t="s">
        <v>971</v>
      </c>
      <c r="R229" s="17" t="s">
        <v>972</v>
      </c>
      <c r="S229" s="17" t="s">
        <v>972</v>
      </c>
      <c r="T229" s="17"/>
    </row>
    <row r="230" s="1" customFormat="1" ht="129" customHeight="1" spans="1:20">
      <c r="A230" s="17">
        <f t="shared" si="29"/>
        <v>225</v>
      </c>
      <c r="B230" s="17" t="s">
        <v>58</v>
      </c>
      <c r="C230" s="19" t="s">
        <v>59</v>
      </c>
      <c r="D230" s="19" t="s">
        <v>60</v>
      </c>
      <c r="E230" s="16" t="s">
        <v>973</v>
      </c>
      <c r="F230" s="18" t="s">
        <v>974</v>
      </c>
      <c r="G230" s="16" t="s">
        <v>913</v>
      </c>
      <c r="H230" s="20" t="s">
        <v>939</v>
      </c>
      <c r="I230" s="16">
        <f t="shared" si="28"/>
        <v>576</v>
      </c>
      <c r="J230" s="16">
        <v>576</v>
      </c>
      <c r="K230" s="16"/>
      <c r="L230" s="16" t="s">
        <v>139</v>
      </c>
      <c r="M230" s="16">
        <v>25600</v>
      </c>
      <c r="N230" s="16">
        <v>66560</v>
      </c>
      <c r="O230" s="16">
        <v>500</v>
      </c>
      <c r="P230" s="20">
        <v>1300</v>
      </c>
      <c r="Q230" s="18" t="s">
        <v>975</v>
      </c>
      <c r="R230" s="17" t="s">
        <v>913</v>
      </c>
      <c r="S230" s="17" t="s">
        <v>976</v>
      </c>
      <c r="T230" s="17"/>
    </row>
    <row r="231" ht="104.4" spans="1:20">
      <c r="A231" s="17">
        <f t="shared" si="29"/>
        <v>226</v>
      </c>
      <c r="B231" s="16" t="s">
        <v>58</v>
      </c>
      <c r="C231" s="16" t="s">
        <v>59</v>
      </c>
      <c r="D231" s="16" t="s">
        <v>62</v>
      </c>
      <c r="E231" s="16" t="s">
        <v>977</v>
      </c>
      <c r="F231" s="18" t="s">
        <v>978</v>
      </c>
      <c r="G231" s="16" t="s">
        <v>362</v>
      </c>
      <c r="H231" s="16" t="s">
        <v>371</v>
      </c>
      <c r="I231" s="16">
        <f t="shared" si="28"/>
        <v>29.7</v>
      </c>
      <c r="J231" s="16">
        <v>29.7</v>
      </c>
      <c r="K231" s="16"/>
      <c r="L231" s="16" t="s">
        <v>139</v>
      </c>
      <c r="M231" s="16">
        <v>136</v>
      </c>
      <c r="N231" s="16">
        <v>220</v>
      </c>
      <c r="O231" s="16">
        <v>3</v>
      </c>
      <c r="P231" s="16">
        <v>7</v>
      </c>
      <c r="Q231" s="18" t="s">
        <v>979</v>
      </c>
      <c r="R231" s="16" t="s">
        <v>365</v>
      </c>
      <c r="S231" s="16" t="s">
        <v>142</v>
      </c>
      <c r="T231" s="17" t="s">
        <v>176</v>
      </c>
    </row>
    <row r="232" s="1" customFormat="1" ht="125" customHeight="1" spans="1:20">
      <c r="A232" s="17">
        <f t="shared" si="29"/>
        <v>227</v>
      </c>
      <c r="B232" s="17" t="s">
        <v>58</v>
      </c>
      <c r="C232" s="19" t="s">
        <v>59</v>
      </c>
      <c r="D232" s="19" t="s">
        <v>62</v>
      </c>
      <c r="E232" s="16" t="s">
        <v>980</v>
      </c>
      <c r="F232" s="18" t="s">
        <v>981</v>
      </c>
      <c r="G232" s="16" t="s">
        <v>311</v>
      </c>
      <c r="H232" s="20" t="s">
        <v>312</v>
      </c>
      <c r="I232" s="16">
        <f t="shared" si="28"/>
        <v>29</v>
      </c>
      <c r="J232" s="16">
        <v>29</v>
      </c>
      <c r="K232" s="16"/>
      <c r="L232" s="16" t="s">
        <v>139</v>
      </c>
      <c r="M232" s="16">
        <v>560</v>
      </c>
      <c r="N232" s="16">
        <v>1736</v>
      </c>
      <c r="O232" s="16">
        <v>39</v>
      </c>
      <c r="P232" s="20">
        <v>85</v>
      </c>
      <c r="Q232" s="18" t="s">
        <v>982</v>
      </c>
      <c r="R232" s="17" t="s">
        <v>311</v>
      </c>
      <c r="S232" s="17" t="s">
        <v>142</v>
      </c>
      <c r="T232" s="17" t="s">
        <v>143</v>
      </c>
    </row>
    <row r="233" s="1" customFormat="1" ht="119" customHeight="1" spans="1:20">
      <c r="A233" s="17">
        <f t="shared" si="29"/>
        <v>228</v>
      </c>
      <c r="B233" s="17" t="s">
        <v>58</v>
      </c>
      <c r="C233" s="19" t="s">
        <v>59</v>
      </c>
      <c r="D233" s="19" t="s">
        <v>62</v>
      </c>
      <c r="E233" s="16" t="s">
        <v>983</v>
      </c>
      <c r="F233" s="18" t="s">
        <v>984</v>
      </c>
      <c r="G233" s="16" t="s">
        <v>232</v>
      </c>
      <c r="H233" s="20" t="s">
        <v>985</v>
      </c>
      <c r="I233" s="16">
        <f t="shared" si="28"/>
        <v>17.6</v>
      </c>
      <c r="J233" s="16">
        <v>17.6</v>
      </c>
      <c r="K233" s="16"/>
      <c r="L233" s="16" t="s">
        <v>139</v>
      </c>
      <c r="M233" s="16">
        <v>317</v>
      </c>
      <c r="N233" s="16">
        <v>800</v>
      </c>
      <c r="O233" s="16">
        <v>20</v>
      </c>
      <c r="P233" s="20">
        <v>41</v>
      </c>
      <c r="Q233" s="18" t="s">
        <v>986</v>
      </c>
      <c r="R233" s="17" t="s">
        <v>240</v>
      </c>
      <c r="S233" s="17" t="s">
        <v>142</v>
      </c>
      <c r="T233" s="17"/>
    </row>
    <row r="234" s="1" customFormat="1" ht="141" customHeight="1" spans="1:20">
      <c r="A234" s="17">
        <f t="shared" si="29"/>
        <v>229</v>
      </c>
      <c r="B234" s="17" t="s">
        <v>58</v>
      </c>
      <c r="C234" s="19" t="s">
        <v>59</v>
      </c>
      <c r="D234" s="19" t="s">
        <v>62</v>
      </c>
      <c r="E234" s="16" t="s">
        <v>987</v>
      </c>
      <c r="F234" s="18" t="s">
        <v>988</v>
      </c>
      <c r="G234" s="16" t="s">
        <v>429</v>
      </c>
      <c r="H234" s="20" t="s">
        <v>440</v>
      </c>
      <c r="I234" s="16">
        <f t="shared" si="28"/>
        <v>85</v>
      </c>
      <c r="J234" s="16">
        <v>85</v>
      </c>
      <c r="K234" s="16"/>
      <c r="L234" s="16" t="s">
        <v>139</v>
      </c>
      <c r="M234" s="16">
        <v>95</v>
      </c>
      <c r="N234" s="16">
        <v>246</v>
      </c>
      <c r="O234" s="16">
        <v>1</v>
      </c>
      <c r="P234" s="20">
        <v>4</v>
      </c>
      <c r="Q234" s="18" t="s">
        <v>989</v>
      </c>
      <c r="R234" s="17" t="s">
        <v>432</v>
      </c>
      <c r="S234" s="17" t="s">
        <v>142</v>
      </c>
      <c r="T234" s="17"/>
    </row>
    <row r="235" s="1" customFormat="1" ht="128" customHeight="1" spans="1:20">
      <c r="A235" s="17">
        <f t="shared" si="29"/>
        <v>230</v>
      </c>
      <c r="B235" s="17" t="s">
        <v>58</v>
      </c>
      <c r="C235" s="19" t="s">
        <v>59</v>
      </c>
      <c r="D235" s="19" t="s">
        <v>62</v>
      </c>
      <c r="E235" s="16" t="s">
        <v>990</v>
      </c>
      <c r="F235" s="18" t="s">
        <v>991</v>
      </c>
      <c r="G235" s="16" t="s">
        <v>173</v>
      </c>
      <c r="H235" s="20" t="s">
        <v>203</v>
      </c>
      <c r="I235" s="16">
        <f t="shared" si="28"/>
        <v>33</v>
      </c>
      <c r="J235" s="16">
        <v>33</v>
      </c>
      <c r="K235" s="16"/>
      <c r="L235" s="16" t="s">
        <v>139</v>
      </c>
      <c r="M235" s="16">
        <v>102</v>
      </c>
      <c r="N235" s="16">
        <v>288</v>
      </c>
      <c r="O235" s="16">
        <v>5</v>
      </c>
      <c r="P235" s="20">
        <v>9</v>
      </c>
      <c r="Q235" s="18" t="s">
        <v>992</v>
      </c>
      <c r="R235" s="17" t="s">
        <v>173</v>
      </c>
      <c r="S235" s="17" t="s">
        <v>142</v>
      </c>
      <c r="T235" s="17"/>
    </row>
    <row r="236" s="1" customFormat="1" ht="117" customHeight="1" spans="1:20">
      <c r="A236" s="17">
        <f t="shared" si="29"/>
        <v>231</v>
      </c>
      <c r="B236" s="17" t="s">
        <v>58</v>
      </c>
      <c r="C236" s="19" t="s">
        <v>59</v>
      </c>
      <c r="D236" s="19" t="s">
        <v>62</v>
      </c>
      <c r="E236" s="16" t="s">
        <v>993</v>
      </c>
      <c r="F236" s="18" t="s">
        <v>994</v>
      </c>
      <c r="G236" s="16" t="s">
        <v>183</v>
      </c>
      <c r="H236" s="20" t="s">
        <v>995</v>
      </c>
      <c r="I236" s="16">
        <f t="shared" si="28"/>
        <v>19</v>
      </c>
      <c r="J236" s="16">
        <v>19</v>
      </c>
      <c r="K236" s="16"/>
      <c r="L236" s="16" t="s">
        <v>139</v>
      </c>
      <c r="M236" s="16">
        <v>342</v>
      </c>
      <c r="N236" s="16">
        <v>790</v>
      </c>
      <c r="O236" s="16">
        <v>12</v>
      </c>
      <c r="P236" s="20">
        <v>28</v>
      </c>
      <c r="Q236" s="18" t="s">
        <v>996</v>
      </c>
      <c r="R236" s="17" t="s">
        <v>183</v>
      </c>
      <c r="S236" s="17" t="s">
        <v>142</v>
      </c>
      <c r="T236" s="17"/>
    </row>
    <row r="237" s="1" customFormat="1" ht="115" customHeight="1" spans="1:20">
      <c r="A237" s="17">
        <f t="shared" si="29"/>
        <v>232</v>
      </c>
      <c r="B237" s="17" t="s">
        <v>58</v>
      </c>
      <c r="C237" s="19" t="s">
        <v>59</v>
      </c>
      <c r="D237" s="19" t="s">
        <v>62</v>
      </c>
      <c r="E237" s="16" t="s">
        <v>997</v>
      </c>
      <c r="F237" s="18" t="s">
        <v>998</v>
      </c>
      <c r="G237" s="16" t="s">
        <v>232</v>
      </c>
      <c r="H237" s="20" t="s">
        <v>999</v>
      </c>
      <c r="I237" s="16">
        <f t="shared" si="28"/>
        <v>20</v>
      </c>
      <c r="J237" s="16">
        <v>20</v>
      </c>
      <c r="K237" s="16"/>
      <c r="L237" s="16" t="s">
        <v>139</v>
      </c>
      <c r="M237" s="16">
        <v>503</v>
      </c>
      <c r="N237" s="16">
        <v>1355</v>
      </c>
      <c r="O237" s="16">
        <v>24</v>
      </c>
      <c r="P237" s="20">
        <v>48</v>
      </c>
      <c r="Q237" s="18" t="s">
        <v>1000</v>
      </c>
      <c r="R237" s="17" t="s">
        <v>240</v>
      </c>
      <c r="S237" s="17" t="s">
        <v>142</v>
      </c>
      <c r="T237" s="17"/>
    </row>
    <row r="238" s="1" customFormat="1" ht="113" customHeight="1" spans="1:20">
      <c r="A238" s="17">
        <f t="shared" ref="A238:A247" si="30">ROW()-5</f>
        <v>233</v>
      </c>
      <c r="B238" s="17" t="s">
        <v>58</v>
      </c>
      <c r="C238" s="19" t="s">
        <v>59</v>
      </c>
      <c r="D238" s="19" t="s">
        <v>62</v>
      </c>
      <c r="E238" s="16" t="s">
        <v>1001</v>
      </c>
      <c r="F238" s="18" t="s">
        <v>1002</v>
      </c>
      <c r="G238" s="16" t="s">
        <v>232</v>
      </c>
      <c r="H238" s="20" t="s">
        <v>1003</v>
      </c>
      <c r="I238" s="16">
        <f t="shared" si="28"/>
        <v>30</v>
      </c>
      <c r="J238" s="16">
        <v>30</v>
      </c>
      <c r="K238" s="16"/>
      <c r="L238" s="16" t="s">
        <v>139</v>
      </c>
      <c r="M238" s="16">
        <v>359</v>
      </c>
      <c r="N238" s="16">
        <v>975</v>
      </c>
      <c r="O238" s="16">
        <v>19</v>
      </c>
      <c r="P238" s="20">
        <v>39</v>
      </c>
      <c r="Q238" s="18" t="s">
        <v>1004</v>
      </c>
      <c r="R238" s="17" t="s">
        <v>240</v>
      </c>
      <c r="S238" s="17" t="s">
        <v>142</v>
      </c>
      <c r="T238" s="17"/>
    </row>
    <row r="239" s="1" customFormat="1" ht="104.4" spans="1:20">
      <c r="A239" s="17">
        <f t="shared" si="30"/>
        <v>234</v>
      </c>
      <c r="B239" s="17" t="s">
        <v>58</v>
      </c>
      <c r="C239" s="19" t="s">
        <v>59</v>
      </c>
      <c r="D239" s="19" t="s">
        <v>62</v>
      </c>
      <c r="E239" s="16" t="s">
        <v>1005</v>
      </c>
      <c r="F239" s="18" t="s">
        <v>1006</v>
      </c>
      <c r="G239" s="16" t="s">
        <v>257</v>
      </c>
      <c r="H239" s="20" t="s">
        <v>799</v>
      </c>
      <c r="I239" s="16">
        <f t="shared" si="28"/>
        <v>25</v>
      </c>
      <c r="J239" s="16">
        <v>25</v>
      </c>
      <c r="K239" s="16"/>
      <c r="L239" s="16" t="s">
        <v>139</v>
      </c>
      <c r="M239" s="16">
        <v>30</v>
      </c>
      <c r="N239" s="16">
        <v>78</v>
      </c>
      <c r="O239" s="16">
        <v>1</v>
      </c>
      <c r="P239" s="20">
        <v>3</v>
      </c>
      <c r="Q239" s="18" t="s">
        <v>1007</v>
      </c>
      <c r="R239" s="17" t="s">
        <v>260</v>
      </c>
      <c r="S239" s="17" t="s">
        <v>142</v>
      </c>
      <c r="T239" s="17"/>
    </row>
    <row r="240" s="1" customFormat="1" ht="100" customHeight="1" spans="1:20">
      <c r="A240" s="17">
        <f t="shared" si="30"/>
        <v>235</v>
      </c>
      <c r="B240" s="17" t="s">
        <v>58</v>
      </c>
      <c r="C240" s="19" t="s">
        <v>59</v>
      </c>
      <c r="D240" s="19" t="s">
        <v>62</v>
      </c>
      <c r="E240" s="16" t="s">
        <v>1008</v>
      </c>
      <c r="F240" s="18" t="s">
        <v>1009</v>
      </c>
      <c r="G240" s="16" t="s">
        <v>257</v>
      </c>
      <c r="H240" s="20" t="s">
        <v>266</v>
      </c>
      <c r="I240" s="16">
        <f t="shared" si="28"/>
        <v>30</v>
      </c>
      <c r="J240" s="16">
        <v>30</v>
      </c>
      <c r="K240" s="16"/>
      <c r="L240" s="16" t="s">
        <v>139</v>
      </c>
      <c r="M240" s="16">
        <v>572</v>
      </c>
      <c r="N240" s="16">
        <v>1689</v>
      </c>
      <c r="O240" s="16">
        <v>36</v>
      </c>
      <c r="P240" s="20">
        <v>74</v>
      </c>
      <c r="Q240" s="18" t="s">
        <v>1010</v>
      </c>
      <c r="R240" s="17" t="s">
        <v>260</v>
      </c>
      <c r="S240" s="17" t="s">
        <v>142</v>
      </c>
      <c r="T240" s="17"/>
    </row>
    <row r="241" s="1" customFormat="1" ht="126" customHeight="1" spans="1:20">
      <c r="A241" s="17">
        <f t="shared" si="30"/>
        <v>236</v>
      </c>
      <c r="B241" s="17" t="s">
        <v>58</v>
      </c>
      <c r="C241" s="19" t="s">
        <v>59</v>
      </c>
      <c r="D241" s="19" t="s">
        <v>62</v>
      </c>
      <c r="E241" s="16" t="s">
        <v>1011</v>
      </c>
      <c r="F241" s="18" t="s">
        <v>1012</v>
      </c>
      <c r="G241" s="16" t="s">
        <v>257</v>
      </c>
      <c r="H241" s="20" t="s">
        <v>270</v>
      </c>
      <c r="I241" s="16">
        <f t="shared" si="28"/>
        <v>8</v>
      </c>
      <c r="J241" s="16">
        <v>8</v>
      </c>
      <c r="K241" s="16"/>
      <c r="L241" s="16" t="s">
        <v>139</v>
      </c>
      <c r="M241" s="16">
        <v>429</v>
      </c>
      <c r="N241" s="16">
        <v>1366</v>
      </c>
      <c r="O241" s="16">
        <v>28</v>
      </c>
      <c r="P241" s="20">
        <v>63</v>
      </c>
      <c r="Q241" s="18" t="s">
        <v>1013</v>
      </c>
      <c r="R241" s="17" t="s">
        <v>260</v>
      </c>
      <c r="S241" s="17" t="s">
        <v>142</v>
      </c>
      <c r="T241" s="17"/>
    </row>
    <row r="242" s="1" customFormat="1" ht="121" customHeight="1" spans="1:20">
      <c r="A242" s="17">
        <f t="shared" si="30"/>
        <v>237</v>
      </c>
      <c r="B242" s="17" t="s">
        <v>58</v>
      </c>
      <c r="C242" s="19" t="s">
        <v>59</v>
      </c>
      <c r="D242" s="19" t="s">
        <v>62</v>
      </c>
      <c r="E242" s="16" t="s">
        <v>1014</v>
      </c>
      <c r="F242" s="18" t="s">
        <v>1015</v>
      </c>
      <c r="G242" s="16" t="s">
        <v>257</v>
      </c>
      <c r="H242" s="20" t="s">
        <v>270</v>
      </c>
      <c r="I242" s="16">
        <f t="shared" si="28"/>
        <v>11</v>
      </c>
      <c r="J242" s="16">
        <v>11</v>
      </c>
      <c r="K242" s="16"/>
      <c r="L242" s="16" t="s">
        <v>139</v>
      </c>
      <c r="M242" s="16">
        <v>429</v>
      </c>
      <c r="N242" s="16">
        <v>1366</v>
      </c>
      <c r="O242" s="16">
        <v>28</v>
      </c>
      <c r="P242" s="20">
        <v>63</v>
      </c>
      <c r="Q242" s="18" t="s">
        <v>1013</v>
      </c>
      <c r="R242" s="17" t="s">
        <v>260</v>
      </c>
      <c r="S242" s="17" t="s">
        <v>142</v>
      </c>
      <c r="T242" s="17"/>
    </row>
    <row r="243" s="1" customFormat="1" ht="117" customHeight="1" spans="1:20">
      <c r="A243" s="17">
        <f t="shared" si="30"/>
        <v>238</v>
      </c>
      <c r="B243" s="17" t="s">
        <v>58</v>
      </c>
      <c r="C243" s="19" t="s">
        <v>59</v>
      </c>
      <c r="D243" s="19" t="s">
        <v>62</v>
      </c>
      <c r="E243" s="16" t="s">
        <v>1016</v>
      </c>
      <c r="F243" s="18" t="s">
        <v>1017</v>
      </c>
      <c r="G243" s="16" t="s">
        <v>257</v>
      </c>
      <c r="H243" s="20" t="s">
        <v>819</v>
      </c>
      <c r="I243" s="16">
        <f t="shared" si="28"/>
        <v>27</v>
      </c>
      <c r="J243" s="16">
        <v>27</v>
      </c>
      <c r="K243" s="16"/>
      <c r="L243" s="16" t="s">
        <v>139</v>
      </c>
      <c r="M243" s="16">
        <v>35</v>
      </c>
      <c r="N243" s="16">
        <v>105</v>
      </c>
      <c r="O243" s="16">
        <v>2</v>
      </c>
      <c r="P243" s="20">
        <v>5</v>
      </c>
      <c r="Q243" s="18" t="s">
        <v>1018</v>
      </c>
      <c r="R243" s="17" t="s">
        <v>260</v>
      </c>
      <c r="S243" s="17" t="s">
        <v>142</v>
      </c>
      <c r="T243" s="17"/>
    </row>
    <row r="244" s="1" customFormat="1" ht="103" customHeight="1" spans="1:20">
      <c r="A244" s="17">
        <f t="shared" si="30"/>
        <v>239</v>
      </c>
      <c r="B244" s="17" t="s">
        <v>58</v>
      </c>
      <c r="C244" s="19" t="s">
        <v>59</v>
      </c>
      <c r="D244" s="19" t="s">
        <v>62</v>
      </c>
      <c r="E244" s="16" t="s">
        <v>1019</v>
      </c>
      <c r="F244" s="18" t="s">
        <v>1020</v>
      </c>
      <c r="G244" s="16" t="s">
        <v>285</v>
      </c>
      <c r="H244" s="20" t="s">
        <v>307</v>
      </c>
      <c r="I244" s="16">
        <f t="shared" si="28"/>
        <v>20</v>
      </c>
      <c r="J244" s="16">
        <v>20</v>
      </c>
      <c r="K244" s="16"/>
      <c r="L244" s="16" t="s">
        <v>139</v>
      </c>
      <c r="M244" s="16">
        <v>427</v>
      </c>
      <c r="N244" s="16">
        <v>1044</v>
      </c>
      <c r="O244" s="16">
        <v>7</v>
      </c>
      <c r="P244" s="20">
        <v>14</v>
      </c>
      <c r="Q244" s="18" t="s">
        <v>1021</v>
      </c>
      <c r="R244" s="17" t="s">
        <v>288</v>
      </c>
      <c r="S244" s="17" t="s">
        <v>142</v>
      </c>
      <c r="T244" s="17" t="s">
        <v>176</v>
      </c>
    </row>
    <row r="245" s="1" customFormat="1" ht="154" customHeight="1" spans="1:20">
      <c r="A245" s="17">
        <f t="shared" si="30"/>
        <v>240</v>
      </c>
      <c r="B245" s="17" t="s">
        <v>58</v>
      </c>
      <c r="C245" s="19" t="s">
        <v>59</v>
      </c>
      <c r="D245" s="19" t="s">
        <v>62</v>
      </c>
      <c r="E245" s="16" t="s">
        <v>1022</v>
      </c>
      <c r="F245" s="18" t="s">
        <v>1023</v>
      </c>
      <c r="G245" s="16" t="s">
        <v>316</v>
      </c>
      <c r="H245" s="20" t="s">
        <v>326</v>
      </c>
      <c r="I245" s="16">
        <f t="shared" si="28"/>
        <v>55</v>
      </c>
      <c r="J245" s="16">
        <v>55</v>
      </c>
      <c r="K245" s="16"/>
      <c r="L245" s="16" t="s">
        <v>139</v>
      </c>
      <c r="M245" s="16">
        <v>437</v>
      </c>
      <c r="N245" s="16">
        <v>1036</v>
      </c>
      <c r="O245" s="16">
        <v>15</v>
      </c>
      <c r="P245" s="20">
        <v>19</v>
      </c>
      <c r="Q245" s="18" t="s">
        <v>1024</v>
      </c>
      <c r="R245" s="17" t="s">
        <v>319</v>
      </c>
      <c r="S245" s="17" t="s">
        <v>142</v>
      </c>
      <c r="T245" s="17" t="s">
        <v>176</v>
      </c>
    </row>
    <row r="246" s="1" customFormat="1" ht="140" customHeight="1" spans="1:20">
      <c r="A246" s="17">
        <f t="shared" si="30"/>
        <v>241</v>
      </c>
      <c r="B246" s="17" t="s">
        <v>58</v>
      </c>
      <c r="C246" s="19" t="s">
        <v>59</v>
      </c>
      <c r="D246" s="19" t="s">
        <v>62</v>
      </c>
      <c r="E246" s="16" t="s">
        <v>1025</v>
      </c>
      <c r="F246" s="18" t="s">
        <v>1026</v>
      </c>
      <c r="G246" s="16" t="s">
        <v>362</v>
      </c>
      <c r="H246" s="20" t="s">
        <v>1027</v>
      </c>
      <c r="I246" s="16">
        <f t="shared" si="28"/>
        <v>6.5</v>
      </c>
      <c r="J246" s="16">
        <v>6.5</v>
      </c>
      <c r="K246" s="16"/>
      <c r="L246" s="16" t="s">
        <v>139</v>
      </c>
      <c r="M246" s="16">
        <v>48</v>
      </c>
      <c r="N246" s="16">
        <v>142</v>
      </c>
      <c r="O246" s="16">
        <v>4</v>
      </c>
      <c r="P246" s="20">
        <v>6</v>
      </c>
      <c r="Q246" s="18" t="s">
        <v>1028</v>
      </c>
      <c r="R246" s="17" t="s">
        <v>365</v>
      </c>
      <c r="S246" s="17" t="s">
        <v>142</v>
      </c>
      <c r="T246" s="17"/>
    </row>
    <row r="247" s="1" customFormat="1" ht="133" customHeight="1" spans="1:20">
      <c r="A247" s="17">
        <f t="shared" si="30"/>
        <v>242</v>
      </c>
      <c r="B247" s="17" t="s">
        <v>58</v>
      </c>
      <c r="C247" s="19" t="s">
        <v>59</v>
      </c>
      <c r="D247" s="19" t="s">
        <v>62</v>
      </c>
      <c r="E247" s="16" t="s">
        <v>1029</v>
      </c>
      <c r="F247" s="18" t="s">
        <v>1030</v>
      </c>
      <c r="G247" s="16" t="s">
        <v>362</v>
      </c>
      <c r="H247" s="20" t="s">
        <v>558</v>
      </c>
      <c r="I247" s="16">
        <f t="shared" si="28"/>
        <v>96.25</v>
      </c>
      <c r="J247" s="16">
        <v>96.25</v>
      </c>
      <c r="K247" s="16"/>
      <c r="L247" s="16" t="s">
        <v>139</v>
      </c>
      <c r="M247" s="16">
        <v>178</v>
      </c>
      <c r="N247" s="16">
        <v>600</v>
      </c>
      <c r="O247" s="16">
        <v>0</v>
      </c>
      <c r="P247" s="20">
        <v>0</v>
      </c>
      <c r="Q247" s="18" t="s">
        <v>1031</v>
      </c>
      <c r="R247" s="17" t="s">
        <v>365</v>
      </c>
      <c r="S247" s="17" t="s">
        <v>142</v>
      </c>
      <c r="T247" s="17"/>
    </row>
    <row r="248" s="1" customFormat="1" ht="124" customHeight="1" spans="1:20">
      <c r="A248" s="17">
        <f t="shared" ref="A248:A257" si="31">ROW()-5</f>
        <v>243</v>
      </c>
      <c r="B248" s="17" t="s">
        <v>58</v>
      </c>
      <c r="C248" s="19" t="s">
        <v>59</v>
      </c>
      <c r="D248" s="19" t="s">
        <v>62</v>
      </c>
      <c r="E248" s="16" t="s">
        <v>1032</v>
      </c>
      <c r="F248" s="18" t="s">
        <v>1033</v>
      </c>
      <c r="G248" s="16" t="s">
        <v>571</v>
      </c>
      <c r="H248" s="20" t="s">
        <v>703</v>
      </c>
      <c r="I248" s="16">
        <f t="shared" si="28"/>
        <v>40</v>
      </c>
      <c r="J248" s="16">
        <v>40</v>
      </c>
      <c r="K248" s="16"/>
      <c r="L248" s="16" t="s">
        <v>139</v>
      </c>
      <c r="M248" s="16">
        <v>83</v>
      </c>
      <c r="N248" s="16">
        <v>235</v>
      </c>
      <c r="O248" s="16">
        <v>0</v>
      </c>
      <c r="P248" s="20">
        <v>0</v>
      </c>
      <c r="Q248" s="18" t="s">
        <v>1034</v>
      </c>
      <c r="R248" s="17" t="s">
        <v>574</v>
      </c>
      <c r="S248" s="17" t="s">
        <v>142</v>
      </c>
      <c r="T248" s="17"/>
    </row>
    <row r="249" s="1" customFormat="1" ht="125" customHeight="1" spans="1:20">
      <c r="A249" s="17">
        <f t="shared" si="31"/>
        <v>244</v>
      </c>
      <c r="B249" s="17" t="s">
        <v>58</v>
      </c>
      <c r="C249" s="19" t="s">
        <v>59</v>
      </c>
      <c r="D249" s="19" t="s">
        <v>62</v>
      </c>
      <c r="E249" s="16" t="s">
        <v>1035</v>
      </c>
      <c r="F249" s="18" t="s">
        <v>1036</v>
      </c>
      <c r="G249" s="16" t="s">
        <v>257</v>
      </c>
      <c r="H249" s="20" t="s">
        <v>281</v>
      </c>
      <c r="I249" s="16">
        <f t="shared" si="28"/>
        <v>20</v>
      </c>
      <c r="J249" s="16">
        <v>20</v>
      </c>
      <c r="K249" s="16"/>
      <c r="L249" s="16" t="s">
        <v>139</v>
      </c>
      <c r="M249" s="16">
        <v>37</v>
      </c>
      <c r="N249" s="16">
        <v>103</v>
      </c>
      <c r="O249" s="16">
        <v>3</v>
      </c>
      <c r="P249" s="20">
        <v>7</v>
      </c>
      <c r="Q249" s="18" t="s">
        <v>1037</v>
      </c>
      <c r="R249" s="17" t="s">
        <v>260</v>
      </c>
      <c r="S249" s="17" t="s">
        <v>142</v>
      </c>
      <c r="T249" s="17"/>
    </row>
    <row r="250" s="1" customFormat="1" ht="145" customHeight="1" spans="1:20">
      <c r="A250" s="17">
        <f t="shared" si="31"/>
        <v>245</v>
      </c>
      <c r="B250" s="17" t="s">
        <v>58</v>
      </c>
      <c r="C250" s="19" t="s">
        <v>59</v>
      </c>
      <c r="D250" s="19" t="s">
        <v>62</v>
      </c>
      <c r="E250" s="16" t="s">
        <v>1038</v>
      </c>
      <c r="F250" s="18" t="s">
        <v>1039</v>
      </c>
      <c r="G250" s="16" t="s">
        <v>213</v>
      </c>
      <c r="H250" s="20" t="s">
        <v>1040</v>
      </c>
      <c r="I250" s="16">
        <f t="shared" si="28"/>
        <v>45</v>
      </c>
      <c r="J250" s="16">
        <v>45</v>
      </c>
      <c r="K250" s="16"/>
      <c r="L250" s="16" t="s">
        <v>139</v>
      </c>
      <c r="M250" s="16">
        <v>30</v>
      </c>
      <c r="N250" s="16">
        <v>82</v>
      </c>
      <c r="O250" s="16">
        <v>3</v>
      </c>
      <c r="P250" s="20">
        <v>6</v>
      </c>
      <c r="Q250" s="18" t="s">
        <v>1041</v>
      </c>
      <c r="R250" s="17" t="s">
        <v>216</v>
      </c>
      <c r="S250" s="17" t="s">
        <v>142</v>
      </c>
      <c r="T250" s="17"/>
    </row>
    <row r="251" s="1" customFormat="1" ht="152" customHeight="1" spans="1:20">
      <c r="A251" s="17">
        <f t="shared" si="31"/>
        <v>246</v>
      </c>
      <c r="B251" s="17" t="s">
        <v>58</v>
      </c>
      <c r="C251" s="19" t="s">
        <v>59</v>
      </c>
      <c r="D251" s="19" t="s">
        <v>61</v>
      </c>
      <c r="E251" s="16" t="s">
        <v>1042</v>
      </c>
      <c r="F251" s="18" t="s">
        <v>1043</v>
      </c>
      <c r="G251" s="16" t="s">
        <v>412</v>
      </c>
      <c r="H251" s="20" t="s">
        <v>1044</v>
      </c>
      <c r="I251" s="16">
        <f t="shared" si="28"/>
        <v>98</v>
      </c>
      <c r="J251" s="16">
        <v>98</v>
      </c>
      <c r="K251" s="16"/>
      <c r="L251" s="16" t="s">
        <v>139</v>
      </c>
      <c r="M251" s="16">
        <v>105</v>
      </c>
      <c r="N251" s="16">
        <v>302</v>
      </c>
      <c r="O251" s="16">
        <v>5</v>
      </c>
      <c r="P251" s="20">
        <v>5</v>
      </c>
      <c r="Q251" s="18" t="s">
        <v>1045</v>
      </c>
      <c r="R251" s="17" t="s">
        <v>415</v>
      </c>
      <c r="S251" s="17" t="s">
        <v>941</v>
      </c>
      <c r="T251" s="17" t="s">
        <v>176</v>
      </c>
    </row>
    <row r="252" s="1" customFormat="1" ht="149" customHeight="1" spans="1:20">
      <c r="A252" s="17">
        <f t="shared" si="31"/>
        <v>247</v>
      </c>
      <c r="B252" s="17" t="s">
        <v>58</v>
      </c>
      <c r="C252" s="19" t="s">
        <v>59</v>
      </c>
      <c r="D252" s="19" t="s">
        <v>61</v>
      </c>
      <c r="E252" s="16" t="s">
        <v>1046</v>
      </c>
      <c r="F252" s="18" t="s">
        <v>1047</v>
      </c>
      <c r="G252" s="16" t="s">
        <v>429</v>
      </c>
      <c r="H252" s="20" t="s">
        <v>430</v>
      </c>
      <c r="I252" s="16">
        <f t="shared" si="28"/>
        <v>150</v>
      </c>
      <c r="J252" s="16">
        <v>150</v>
      </c>
      <c r="K252" s="16"/>
      <c r="L252" s="16" t="s">
        <v>139</v>
      </c>
      <c r="M252" s="16">
        <v>119</v>
      </c>
      <c r="N252" s="16">
        <v>317</v>
      </c>
      <c r="O252" s="16">
        <v>8</v>
      </c>
      <c r="P252" s="20">
        <v>18</v>
      </c>
      <c r="Q252" s="18" t="s">
        <v>1048</v>
      </c>
      <c r="R252" s="17" t="s">
        <v>432</v>
      </c>
      <c r="S252" s="17" t="s">
        <v>941</v>
      </c>
      <c r="T252" s="17" t="s">
        <v>433</v>
      </c>
    </row>
    <row r="253" s="1" customFormat="1" ht="144" customHeight="1" spans="1:20">
      <c r="A253" s="17">
        <f t="shared" si="31"/>
        <v>248</v>
      </c>
      <c r="B253" s="17" t="s">
        <v>58</v>
      </c>
      <c r="C253" s="19" t="s">
        <v>59</v>
      </c>
      <c r="D253" s="19" t="s">
        <v>61</v>
      </c>
      <c r="E253" s="16" t="s">
        <v>1049</v>
      </c>
      <c r="F253" s="18" t="s">
        <v>1050</v>
      </c>
      <c r="G253" s="16" t="s">
        <v>168</v>
      </c>
      <c r="H253" s="20" t="s">
        <v>1051</v>
      </c>
      <c r="I253" s="16">
        <f t="shared" si="28"/>
        <v>20</v>
      </c>
      <c r="J253" s="16">
        <v>20</v>
      </c>
      <c r="K253" s="16"/>
      <c r="L253" s="16" t="s">
        <v>139</v>
      </c>
      <c r="M253" s="16">
        <v>159</v>
      </c>
      <c r="N253" s="16">
        <v>408</v>
      </c>
      <c r="O253" s="16">
        <v>7</v>
      </c>
      <c r="P253" s="20">
        <v>12</v>
      </c>
      <c r="Q253" s="18" t="s">
        <v>1052</v>
      </c>
      <c r="R253" s="17" t="s">
        <v>455</v>
      </c>
      <c r="S253" s="17" t="s">
        <v>941</v>
      </c>
      <c r="T253" s="17"/>
    </row>
    <row r="254" s="1" customFormat="1" ht="148" customHeight="1" spans="1:20">
      <c r="A254" s="17">
        <f t="shared" si="31"/>
        <v>249</v>
      </c>
      <c r="B254" s="17" t="s">
        <v>58</v>
      </c>
      <c r="C254" s="19" t="s">
        <v>59</v>
      </c>
      <c r="D254" s="19" t="s">
        <v>61</v>
      </c>
      <c r="E254" s="16" t="s">
        <v>1053</v>
      </c>
      <c r="F254" s="18" t="s">
        <v>1054</v>
      </c>
      <c r="G254" s="16" t="s">
        <v>168</v>
      </c>
      <c r="H254" s="20" t="s">
        <v>1055</v>
      </c>
      <c r="I254" s="16">
        <f t="shared" si="28"/>
        <v>27</v>
      </c>
      <c r="J254" s="16">
        <v>27</v>
      </c>
      <c r="K254" s="16"/>
      <c r="L254" s="16" t="s">
        <v>139</v>
      </c>
      <c r="M254" s="16">
        <v>97</v>
      </c>
      <c r="N254" s="16">
        <v>263</v>
      </c>
      <c r="O254" s="16">
        <v>1</v>
      </c>
      <c r="P254" s="20">
        <v>1</v>
      </c>
      <c r="Q254" s="18" t="s">
        <v>1056</v>
      </c>
      <c r="R254" s="17" t="s">
        <v>455</v>
      </c>
      <c r="S254" s="17" t="s">
        <v>941</v>
      </c>
      <c r="T254" s="17"/>
    </row>
    <row r="255" s="1" customFormat="1" ht="144" customHeight="1" spans="1:20">
      <c r="A255" s="17">
        <f t="shared" si="31"/>
        <v>250</v>
      </c>
      <c r="B255" s="17" t="s">
        <v>58</v>
      </c>
      <c r="C255" s="19" t="s">
        <v>59</v>
      </c>
      <c r="D255" s="19" t="s">
        <v>61</v>
      </c>
      <c r="E255" s="16" t="s">
        <v>1057</v>
      </c>
      <c r="F255" s="18" t="s">
        <v>1058</v>
      </c>
      <c r="G255" s="16" t="s">
        <v>168</v>
      </c>
      <c r="H255" s="20" t="s">
        <v>1055</v>
      </c>
      <c r="I255" s="16">
        <f t="shared" si="28"/>
        <v>30</v>
      </c>
      <c r="J255" s="16">
        <v>30</v>
      </c>
      <c r="K255" s="16"/>
      <c r="L255" s="16" t="s">
        <v>139</v>
      </c>
      <c r="M255" s="16">
        <v>53</v>
      </c>
      <c r="N255" s="16">
        <v>89</v>
      </c>
      <c r="O255" s="16">
        <v>4</v>
      </c>
      <c r="P255" s="20">
        <v>4</v>
      </c>
      <c r="Q255" s="18" t="s">
        <v>1059</v>
      </c>
      <c r="R255" s="17" t="s">
        <v>455</v>
      </c>
      <c r="S255" s="17" t="s">
        <v>941</v>
      </c>
      <c r="T255" s="17"/>
    </row>
    <row r="256" s="1" customFormat="1" ht="135" customHeight="1" spans="1:20">
      <c r="A256" s="17">
        <f t="shared" si="31"/>
        <v>251</v>
      </c>
      <c r="B256" s="17" t="s">
        <v>58</v>
      </c>
      <c r="C256" s="19" t="s">
        <v>59</v>
      </c>
      <c r="D256" s="19" t="s">
        <v>61</v>
      </c>
      <c r="E256" s="16" t="s">
        <v>1060</v>
      </c>
      <c r="F256" s="18" t="s">
        <v>1061</v>
      </c>
      <c r="G256" s="16" t="s">
        <v>168</v>
      </c>
      <c r="H256" s="20" t="s">
        <v>1062</v>
      </c>
      <c r="I256" s="16">
        <f t="shared" si="28"/>
        <v>40</v>
      </c>
      <c r="J256" s="16">
        <v>40</v>
      </c>
      <c r="K256" s="16"/>
      <c r="L256" s="16" t="s">
        <v>139</v>
      </c>
      <c r="M256" s="16">
        <v>120</v>
      </c>
      <c r="N256" s="16">
        <v>287</v>
      </c>
      <c r="O256" s="16">
        <v>3</v>
      </c>
      <c r="P256" s="20">
        <v>3</v>
      </c>
      <c r="Q256" s="18" t="s">
        <v>1063</v>
      </c>
      <c r="R256" s="17" t="s">
        <v>455</v>
      </c>
      <c r="S256" s="17" t="s">
        <v>941</v>
      </c>
      <c r="T256" s="17"/>
    </row>
    <row r="257" s="1" customFormat="1" ht="137" customHeight="1" spans="1:20">
      <c r="A257" s="17">
        <f t="shared" si="31"/>
        <v>252</v>
      </c>
      <c r="B257" s="17" t="s">
        <v>58</v>
      </c>
      <c r="C257" s="19" t="s">
        <v>59</v>
      </c>
      <c r="D257" s="19" t="s">
        <v>61</v>
      </c>
      <c r="E257" s="16" t="s">
        <v>1064</v>
      </c>
      <c r="F257" s="18" t="s">
        <v>1065</v>
      </c>
      <c r="G257" s="16" t="s">
        <v>168</v>
      </c>
      <c r="H257" s="20" t="s">
        <v>1062</v>
      </c>
      <c r="I257" s="16">
        <f t="shared" si="28"/>
        <v>45</v>
      </c>
      <c r="J257" s="16">
        <v>45</v>
      </c>
      <c r="K257" s="16"/>
      <c r="L257" s="16" t="s">
        <v>139</v>
      </c>
      <c r="M257" s="16">
        <v>118</v>
      </c>
      <c r="N257" s="16">
        <v>295</v>
      </c>
      <c r="O257" s="16">
        <v>3</v>
      </c>
      <c r="P257" s="20">
        <v>7</v>
      </c>
      <c r="Q257" s="18" t="s">
        <v>1066</v>
      </c>
      <c r="R257" s="17" t="s">
        <v>455</v>
      </c>
      <c r="S257" s="17" t="s">
        <v>941</v>
      </c>
      <c r="T257" s="17"/>
    </row>
    <row r="258" s="1" customFormat="1" ht="140" customHeight="1" spans="1:20">
      <c r="A258" s="17">
        <f t="shared" ref="A258:A267" si="32">ROW()-5</f>
        <v>253</v>
      </c>
      <c r="B258" s="17" t="s">
        <v>58</v>
      </c>
      <c r="C258" s="19" t="s">
        <v>59</v>
      </c>
      <c r="D258" s="19" t="s">
        <v>61</v>
      </c>
      <c r="E258" s="16" t="s">
        <v>1067</v>
      </c>
      <c r="F258" s="18" t="s">
        <v>1068</v>
      </c>
      <c r="G258" s="16" t="s">
        <v>168</v>
      </c>
      <c r="H258" s="20" t="s">
        <v>1069</v>
      </c>
      <c r="I258" s="16">
        <f t="shared" si="28"/>
        <v>19</v>
      </c>
      <c r="J258" s="16">
        <v>19</v>
      </c>
      <c r="K258" s="16"/>
      <c r="L258" s="16" t="s">
        <v>139</v>
      </c>
      <c r="M258" s="16">
        <v>15</v>
      </c>
      <c r="N258" s="16">
        <v>27</v>
      </c>
      <c r="O258" s="16">
        <v>1</v>
      </c>
      <c r="P258" s="20">
        <v>1</v>
      </c>
      <c r="Q258" s="18" t="s">
        <v>1070</v>
      </c>
      <c r="R258" s="17" t="s">
        <v>941</v>
      </c>
      <c r="S258" s="17" t="s">
        <v>941</v>
      </c>
      <c r="T258" s="17"/>
    </row>
    <row r="259" s="1" customFormat="1" ht="121.8" spans="1:20">
      <c r="A259" s="17">
        <f t="shared" si="32"/>
        <v>254</v>
      </c>
      <c r="B259" s="17" t="s">
        <v>58</v>
      </c>
      <c r="C259" s="19" t="s">
        <v>59</v>
      </c>
      <c r="D259" s="19" t="s">
        <v>61</v>
      </c>
      <c r="E259" s="16" t="s">
        <v>1071</v>
      </c>
      <c r="F259" s="18" t="s">
        <v>1072</v>
      </c>
      <c r="G259" s="16" t="s">
        <v>168</v>
      </c>
      <c r="H259" s="20" t="s">
        <v>1073</v>
      </c>
      <c r="I259" s="16">
        <f t="shared" si="28"/>
        <v>85</v>
      </c>
      <c r="J259" s="16">
        <v>85</v>
      </c>
      <c r="K259" s="16"/>
      <c r="L259" s="16" t="s">
        <v>139</v>
      </c>
      <c r="M259" s="16">
        <v>49</v>
      </c>
      <c r="N259" s="16">
        <v>135</v>
      </c>
      <c r="O259" s="16">
        <v>2</v>
      </c>
      <c r="P259" s="20">
        <v>5</v>
      </c>
      <c r="Q259" s="18" t="s">
        <v>1074</v>
      </c>
      <c r="R259" s="17" t="s">
        <v>455</v>
      </c>
      <c r="S259" s="17" t="s">
        <v>941</v>
      </c>
      <c r="T259" s="17"/>
    </row>
    <row r="260" s="1" customFormat="1" ht="121.8" spans="1:20">
      <c r="A260" s="17">
        <f t="shared" si="32"/>
        <v>255</v>
      </c>
      <c r="B260" s="17" t="s">
        <v>58</v>
      </c>
      <c r="C260" s="19" t="s">
        <v>59</v>
      </c>
      <c r="D260" s="19" t="s">
        <v>61</v>
      </c>
      <c r="E260" s="16" t="s">
        <v>1075</v>
      </c>
      <c r="F260" s="18" t="s">
        <v>1076</v>
      </c>
      <c r="G260" s="16" t="s">
        <v>591</v>
      </c>
      <c r="H260" s="20" t="s">
        <v>731</v>
      </c>
      <c r="I260" s="16">
        <f t="shared" si="28"/>
        <v>10</v>
      </c>
      <c r="J260" s="16"/>
      <c r="K260" s="16">
        <v>10</v>
      </c>
      <c r="L260" s="16" t="s">
        <v>139</v>
      </c>
      <c r="M260" s="16">
        <v>49</v>
      </c>
      <c r="N260" s="16">
        <v>143</v>
      </c>
      <c r="O260" s="16">
        <v>1</v>
      </c>
      <c r="P260" s="20">
        <v>1</v>
      </c>
      <c r="Q260" s="18" t="s">
        <v>1077</v>
      </c>
      <c r="R260" s="17" t="s">
        <v>594</v>
      </c>
      <c r="S260" s="17" t="s">
        <v>941</v>
      </c>
      <c r="T260" s="17" t="s">
        <v>176</v>
      </c>
    </row>
    <row r="261" s="1" customFormat="1" ht="141" customHeight="1" spans="1:20">
      <c r="A261" s="17">
        <f t="shared" si="32"/>
        <v>256</v>
      </c>
      <c r="B261" s="17" t="s">
        <v>58</v>
      </c>
      <c r="C261" s="19" t="s">
        <v>59</v>
      </c>
      <c r="D261" s="19" t="s">
        <v>61</v>
      </c>
      <c r="E261" s="16" t="s">
        <v>1078</v>
      </c>
      <c r="F261" s="18" t="s">
        <v>1079</v>
      </c>
      <c r="G261" s="16" t="s">
        <v>591</v>
      </c>
      <c r="H261" s="20" t="s">
        <v>1080</v>
      </c>
      <c r="I261" s="16">
        <f t="shared" si="28"/>
        <v>75</v>
      </c>
      <c r="J261" s="16">
        <v>75</v>
      </c>
      <c r="K261" s="16"/>
      <c r="L261" s="16" t="s">
        <v>139</v>
      </c>
      <c r="M261" s="16">
        <v>108</v>
      </c>
      <c r="N261" s="16">
        <v>334</v>
      </c>
      <c r="O261" s="16">
        <v>6</v>
      </c>
      <c r="P261" s="20">
        <v>11</v>
      </c>
      <c r="Q261" s="18" t="s">
        <v>1081</v>
      </c>
      <c r="R261" s="17" t="s">
        <v>941</v>
      </c>
      <c r="S261" s="17" t="s">
        <v>941</v>
      </c>
      <c r="T261" s="17"/>
    </row>
    <row r="262" s="1" customFormat="1" ht="141" customHeight="1" spans="1:20">
      <c r="A262" s="17">
        <f t="shared" si="32"/>
        <v>257</v>
      </c>
      <c r="B262" s="17" t="s">
        <v>58</v>
      </c>
      <c r="C262" s="19" t="s">
        <v>59</v>
      </c>
      <c r="D262" s="19" t="s">
        <v>61</v>
      </c>
      <c r="E262" s="16" t="s">
        <v>1082</v>
      </c>
      <c r="F262" s="18" t="s">
        <v>1083</v>
      </c>
      <c r="G262" s="16" t="s">
        <v>591</v>
      </c>
      <c r="H262" s="20" t="s">
        <v>1084</v>
      </c>
      <c r="I262" s="16">
        <f t="shared" si="28"/>
        <v>210</v>
      </c>
      <c r="J262" s="16">
        <v>210</v>
      </c>
      <c r="K262" s="16"/>
      <c r="L262" s="16" t="s">
        <v>139</v>
      </c>
      <c r="M262" s="16">
        <v>495</v>
      </c>
      <c r="N262" s="16">
        <v>1460</v>
      </c>
      <c r="O262" s="16">
        <v>20</v>
      </c>
      <c r="P262" s="20">
        <v>37</v>
      </c>
      <c r="Q262" s="18" t="s">
        <v>1085</v>
      </c>
      <c r="R262" s="17" t="s">
        <v>594</v>
      </c>
      <c r="S262" s="17" t="s">
        <v>941</v>
      </c>
      <c r="T262" s="17"/>
    </row>
    <row r="263" s="1" customFormat="1" ht="143" customHeight="1" spans="1:20">
      <c r="A263" s="17">
        <f t="shared" si="32"/>
        <v>258</v>
      </c>
      <c r="B263" s="17" t="s">
        <v>58</v>
      </c>
      <c r="C263" s="19" t="s">
        <v>59</v>
      </c>
      <c r="D263" s="19" t="s">
        <v>61</v>
      </c>
      <c r="E263" s="16" t="s">
        <v>1086</v>
      </c>
      <c r="F263" s="18" t="s">
        <v>1087</v>
      </c>
      <c r="G263" s="16" t="s">
        <v>173</v>
      </c>
      <c r="H263" s="20" t="s">
        <v>203</v>
      </c>
      <c r="I263" s="16">
        <f t="shared" si="28"/>
        <v>50</v>
      </c>
      <c r="J263" s="16">
        <v>50</v>
      </c>
      <c r="K263" s="16"/>
      <c r="L263" s="16" t="s">
        <v>139</v>
      </c>
      <c r="M263" s="16">
        <v>65</v>
      </c>
      <c r="N263" s="16">
        <v>152</v>
      </c>
      <c r="O263" s="16">
        <v>4</v>
      </c>
      <c r="P263" s="20">
        <v>7</v>
      </c>
      <c r="Q263" s="18" t="s">
        <v>1088</v>
      </c>
      <c r="R263" s="17" t="s">
        <v>941</v>
      </c>
      <c r="S263" s="17" t="s">
        <v>941</v>
      </c>
      <c r="T263" s="17"/>
    </row>
    <row r="264" s="1" customFormat="1" ht="130" customHeight="1" spans="1:20">
      <c r="A264" s="17">
        <f t="shared" si="32"/>
        <v>259</v>
      </c>
      <c r="B264" s="17" t="s">
        <v>58</v>
      </c>
      <c r="C264" s="19" t="s">
        <v>59</v>
      </c>
      <c r="D264" s="19" t="s">
        <v>61</v>
      </c>
      <c r="E264" s="16" t="s">
        <v>1089</v>
      </c>
      <c r="F264" s="18" t="s">
        <v>1090</v>
      </c>
      <c r="G264" s="16" t="s">
        <v>173</v>
      </c>
      <c r="H264" s="20" t="s">
        <v>174</v>
      </c>
      <c r="I264" s="16">
        <f t="shared" si="28"/>
        <v>130</v>
      </c>
      <c r="J264" s="16"/>
      <c r="K264" s="16">
        <v>130</v>
      </c>
      <c r="L264" s="16" t="s">
        <v>139</v>
      </c>
      <c r="M264" s="16">
        <v>443</v>
      </c>
      <c r="N264" s="16">
        <v>1123</v>
      </c>
      <c r="O264" s="16">
        <v>10</v>
      </c>
      <c r="P264" s="20">
        <v>19</v>
      </c>
      <c r="Q264" s="18" t="s">
        <v>1091</v>
      </c>
      <c r="R264" s="17" t="s">
        <v>173</v>
      </c>
      <c r="S264" s="17" t="s">
        <v>941</v>
      </c>
      <c r="T264" s="17" t="s">
        <v>176</v>
      </c>
    </row>
    <row r="265" s="1" customFormat="1" ht="121.8" spans="1:20">
      <c r="A265" s="17">
        <f t="shared" si="32"/>
        <v>260</v>
      </c>
      <c r="B265" s="17" t="s">
        <v>58</v>
      </c>
      <c r="C265" s="19" t="s">
        <v>59</v>
      </c>
      <c r="D265" s="19" t="s">
        <v>61</v>
      </c>
      <c r="E265" s="16" t="s">
        <v>1092</v>
      </c>
      <c r="F265" s="18" t="s">
        <v>1093</v>
      </c>
      <c r="G265" s="16" t="s">
        <v>257</v>
      </c>
      <c r="H265" s="20" t="s">
        <v>266</v>
      </c>
      <c r="I265" s="16">
        <f t="shared" si="28"/>
        <v>140</v>
      </c>
      <c r="J265" s="16">
        <v>140</v>
      </c>
      <c r="K265" s="16"/>
      <c r="L265" s="16" t="s">
        <v>139</v>
      </c>
      <c r="M265" s="16">
        <v>52</v>
      </c>
      <c r="N265" s="16">
        <v>149</v>
      </c>
      <c r="O265" s="16">
        <v>4</v>
      </c>
      <c r="P265" s="20">
        <v>7</v>
      </c>
      <c r="Q265" s="18" t="s">
        <v>1094</v>
      </c>
      <c r="R265" s="17" t="s">
        <v>260</v>
      </c>
      <c r="S265" s="17" t="s">
        <v>941</v>
      </c>
      <c r="T265" s="17"/>
    </row>
    <row r="266" s="1" customFormat="1" ht="121.8" spans="1:20">
      <c r="A266" s="17">
        <f t="shared" si="32"/>
        <v>261</v>
      </c>
      <c r="B266" s="17" t="s">
        <v>58</v>
      </c>
      <c r="C266" s="19" t="s">
        <v>59</v>
      </c>
      <c r="D266" s="19" t="s">
        <v>61</v>
      </c>
      <c r="E266" s="16" t="s">
        <v>1095</v>
      </c>
      <c r="F266" s="18" t="s">
        <v>1096</v>
      </c>
      <c r="G266" s="16" t="s">
        <v>257</v>
      </c>
      <c r="H266" s="20" t="s">
        <v>266</v>
      </c>
      <c r="I266" s="16">
        <f t="shared" si="28"/>
        <v>130</v>
      </c>
      <c r="J266" s="16">
        <v>130</v>
      </c>
      <c r="K266" s="16"/>
      <c r="L266" s="16" t="s">
        <v>139</v>
      </c>
      <c r="M266" s="16">
        <v>10</v>
      </c>
      <c r="N266" s="16">
        <v>25</v>
      </c>
      <c r="O266" s="16">
        <v>0</v>
      </c>
      <c r="P266" s="20">
        <v>0</v>
      </c>
      <c r="Q266" s="18" t="s">
        <v>1097</v>
      </c>
      <c r="R266" s="17" t="s">
        <v>260</v>
      </c>
      <c r="S266" s="17" t="s">
        <v>941</v>
      </c>
      <c r="T266" s="17"/>
    </row>
    <row r="267" s="1" customFormat="1" ht="145" customHeight="1" spans="1:20">
      <c r="A267" s="17">
        <f t="shared" si="32"/>
        <v>262</v>
      </c>
      <c r="B267" s="17" t="s">
        <v>58</v>
      </c>
      <c r="C267" s="19" t="s">
        <v>59</v>
      </c>
      <c r="D267" s="19" t="s">
        <v>61</v>
      </c>
      <c r="E267" s="16" t="s">
        <v>1098</v>
      </c>
      <c r="F267" s="18" t="s">
        <v>1099</v>
      </c>
      <c r="G267" s="16" t="s">
        <v>285</v>
      </c>
      <c r="H267" s="20" t="s">
        <v>1100</v>
      </c>
      <c r="I267" s="16">
        <f t="shared" si="28"/>
        <v>46</v>
      </c>
      <c r="J267" s="16">
        <v>46</v>
      </c>
      <c r="K267" s="16"/>
      <c r="L267" s="16" t="s">
        <v>139</v>
      </c>
      <c r="M267" s="16">
        <v>148</v>
      </c>
      <c r="N267" s="16">
        <v>480</v>
      </c>
      <c r="O267" s="16">
        <v>1</v>
      </c>
      <c r="P267" s="20">
        <v>1</v>
      </c>
      <c r="Q267" s="18" t="s">
        <v>1101</v>
      </c>
      <c r="R267" s="17" t="s">
        <v>288</v>
      </c>
      <c r="S267" s="17" t="s">
        <v>941</v>
      </c>
      <c r="T267" s="17"/>
    </row>
    <row r="268" s="1" customFormat="1" ht="139" customHeight="1" spans="1:20">
      <c r="A268" s="17">
        <f t="shared" ref="A268:A277" si="33">ROW()-5</f>
        <v>263</v>
      </c>
      <c r="B268" s="17" t="s">
        <v>58</v>
      </c>
      <c r="C268" s="19" t="s">
        <v>59</v>
      </c>
      <c r="D268" s="19" t="s">
        <v>61</v>
      </c>
      <c r="E268" s="16" t="s">
        <v>1102</v>
      </c>
      <c r="F268" s="18" t="s">
        <v>1103</v>
      </c>
      <c r="G268" s="16" t="s">
        <v>257</v>
      </c>
      <c r="H268" s="20" t="s">
        <v>1104</v>
      </c>
      <c r="I268" s="16">
        <f t="shared" si="28"/>
        <v>80</v>
      </c>
      <c r="J268" s="16"/>
      <c r="K268" s="16">
        <v>80</v>
      </c>
      <c r="L268" s="16" t="s">
        <v>139</v>
      </c>
      <c r="M268" s="16">
        <v>30</v>
      </c>
      <c r="N268" s="16">
        <v>75</v>
      </c>
      <c r="O268" s="16">
        <v>1</v>
      </c>
      <c r="P268" s="20">
        <v>1</v>
      </c>
      <c r="Q268" s="18" t="s">
        <v>1105</v>
      </c>
      <c r="R268" s="17" t="s">
        <v>260</v>
      </c>
      <c r="S268" s="17" t="s">
        <v>941</v>
      </c>
      <c r="T268" s="17"/>
    </row>
    <row r="269" s="1" customFormat="1" ht="136" customHeight="1" spans="1:20">
      <c r="A269" s="17">
        <f t="shared" si="33"/>
        <v>264</v>
      </c>
      <c r="B269" s="17" t="s">
        <v>58</v>
      </c>
      <c r="C269" s="19" t="s">
        <v>59</v>
      </c>
      <c r="D269" s="19" t="s">
        <v>61</v>
      </c>
      <c r="E269" s="16" t="s">
        <v>1106</v>
      </c>
      <c r="F269" s="18" t="s">
        <v>1107</v>
      </c>
      <c r="G269" s="16" t="s">
        <v>571</v>
      </c>
      <c r="H269" s="20" t="s">
        <v>1108</v>
      </c>
      <c r="I269" s="16">
        <f t="shared" si="28"/>
        <v>140</v>
      </c>
      <c r="J269" s="16">
        <v>140</v>
      </c>
      <c r="K269" s="16"/>
      <c r="L269" s="16" t="s">
        <v>139</v>
      </c>
      <c r="M269" s="16">
        <v>20</v>
      </c>
      <c r="N269" s="16">
        <v>55</v>
      </c>
      <c r="O269" s="16">
        <v>6</v>
      </c>
      <c r="P269" s="20">
        <v>13</v>
      </c>
      <c r="Q269" s="18" t="s">
        <v>1109</v>
      </c>
      <c r="R269" s="17" t="s">
        <v>941</v>
      </c>
      <c r="S269" s="17" t="s">
        <v>941</v>
      </c>
      <c r="T269" s="17"/>
    </row>
    <row r="270" s="1" customFormat="1" ht="133" customHeight="1" spans="1:20">
      <c r="A270" s="17">
        <f t="shared" si="33"/>
        <v>265</v>
      </c>
      <c r="B270" s="17" t="s">
        <v>58</v>
      </c>
      <c r="C270" s="19" t="s">
        <v>59</v>
      </c>
      <c r="D270" s="19" t="s">
        <v>61</v>
      </c>
      <c r="E270" s="16" t="s">
        <v>1110</v>
      </c>
      <c r="F270" s="18" t="s">
        <v>1111</v>
      </c>
      <c r="G270" s="16" t="s">
        <v>311</v>
      </c>
      <c r="H270" s="20" t="s">
        <v>1112</v>
      </c>
      <c r="I270" s="16">
        <f t="shared" si="28"/>
        <v>26</v>
      </c>
      <c r="J270" s="16">
        <v>26</v>
      </c>
      <c r="K270" s="16"/>
      <c r="L270" s="16" t="s">
        <v>139</v>
      </c>
      <c r="M270" s="16">
        <v>50</v>
      </c>
      <c r="N270" s="16">
        <v>124</v>
      </c>
      <c r="O270" s="16">
        <v>6</v>
      </c>
      <c r="P270" s="20">
        <v>18</v>
      </c>
      <c r="Q270" s="18" t="s">
        <v>1113</v>
      </c>
      <c r="R270" s="17" t="s">
        <v>311</v>
      </c>
      <c r="S270" s="17" t="s">
        <v>941</v>
      </c>
      <c r="T270" s="17"/>
    </row>
    <row r="271" s="1" customFormat="1" ht="143" customHeight="1" spans="1:20">
      <c r="A271" s="17">
        <f t="shared" si="33"/>
        <v>266</v>
      </c>
      <c r="B271" s="17" t="s">
        <v>58</v>
      </c>
      <c r="C271" s="19" t="s">
        <v>59</v>
      </c>
      <c r="D271" s="19" t="s">
        <v>61</v>
      </c>
      <c r="E271" s="16" t="s">
        <v>1114</v>
      </c>
      <c r="F271" s="18" t="s">
        <v>1115</v>
      </c>
      <c r="G271" s="16" t="s">
        <v>316</v>
      </c>
      <c r="H271" s="20" t="s">
        <v>341</v>
      </c>
      <c r="I271" s="16">
        <f t="shared" si="28"/>
        <v>64</v>
      </c>
      <c r="J271" s="16">
        <v>64</v>
      </c>
      <c r="K271" s="16"/>
      <c r="L271" s="16" t="s">
        <v>139</v>
      </c>
      <c r="M271" s="16">
        <v>46</v>
      </c>
      <c r="N271" s="16">
        <v>103</v>
      </c>
      <c r="O271" s="16">
        <v>0</v>
      </c>
      <c r="P271" s="20">
        <v>0</v>
      </c>
      <c r="Q271" s="18" t="s">
        <v>1116</v>
      </c>
      <c r="R271" s="17" t="s">
        <v>941</v>
      </c>
      <c r="S271" s="17" t="s">
        <v>941</v>
      </c>
      <c r="T271" s="17"/>
    </row>
    <row r="272" s="1" customFormat="1" ht="137" customHeight="1" spans="1:20">
      <c r="A272" s="17">
        <f t="shared" si="33"/>
        <v>267</v>
      </c>
      <c r="B272" s="17" t="s">
        <v>58</v>
      </c>
      <c r="C272" s="19" t="s">
        <v>59</v>
      </c>
      <c r="D272" s="19" t="s">
        <v>61</v>
      </c>
      <c r="E272" s="16" t="s">
        <v>1117</v>
      </c>
      <c r="F272" s="18" t="s">
        <v>1118</v>
      </c>
      <c r="G272" s="16" t="s">
        <v>316</v>
      </c>
      <c r="H272" s="20" t="s">
        <v>322</v>
      </c>
      <c r="I272" s="16">
        <f t="shared" si="28"/>
        <v>80</v>
      </c>
      <c r="J272" s="16">
        <v>80</v>
      </c>
      <c r="K272" s="16"/>
      <c r="L272" s="16" t="s">
        <v>139</v>
      </c>
      <c r="M272" s="16">
        <v>56</v>
      </c>
      <c r="N272" s="16">
        <v>123</v>
      </c>
      <c r="O272" s="16">
        <v>6</v>
      </c>
      <c r="P272" s="20">
        <v>6</v>
      </c>
      <c r="Q272" s="18" t="s">
        <v>1119</v>
      </c>
      <c r="R272" s="17" t="s">
        <v>319</v>
      </c>
      <c r="S272" s="17" t="s">
        <v>941</v>
      </c>
      <c r="T272" s="17"/>
    </row>
    <row r="273" s="1" customFormat="1" ht="140" customHeight="1" spans="1:20">
      <c r="A273" s="17">
        <f t="shared" si="33"/>
        <v>268</v>
      </c>
      <c r="B273" s="17" t="s">
        <v>58</v>
      </c>
      <c r="C273" s="19" t="s">
        <v>59</v>
      </c>
      <c r="D273" s="19" t="s">
        <v>61</v>
      </c>
      <c r="E273" s="16" t="s">
        <v>1120</v>
      </c>
      <c r="F273" s="18" t="s">
        <v>1121</v>
      </c>
      <c r="G273" s="16" t="s">
        <v>316</v>
      </c>
      <c r="H273" s="20" t="s">
        <v>337</v>
      </c>
      <c r="I273" s="16">
        <f t="shared" si="28"/>
        <v>145</v>
      </c>
      <c r="J273" s="16">
        <v>145</v>
      </c>
      <c r="K273" s="16"/>
      <c r="L273" s="16" t="s">
        <v>139</v>
      </c>
      <c r="M273" s="16">
        <v>59</v>
      </c>
      <c r="N273" s="16">
        <v>127</v>
      </c>
      <c r="O273" s="16">
        <v>3</v>
      </c>
      <c r="P273" s="20">
        <v>8</v>
      </c>
      <c r="Q273" s="18" t="s">
        <v>1122</v>
      </c>
      <c r="R273" s="17" t="s">
        <v>319</v>
      </c>
      <c r="S273" s="17" t="s">
        <v>941</v>
      </c>
      <c r="T273" s="17" t="s">
        <v>176</v>
      </c>
    </row>
    <row r="274" s="1" customFormat="1" ht="144" customHeight="1" spans="1:20">
      <c r="A274" s="17">
        <f t="shared" si="33"/>
        <v>269</v>
      </c>
      <c r="B274" s="17" t="s">
        <v>58</v>
      </c>
      <c r="C274" s="19" t="s">
        <v>59</v>
      </c>
      <c r="D274" s="19" t="s">
        <v>61</v>
      </c>
      <c r="E274" s="16" t="s">
        <v>1123</v>
      </c>
      <c r="F274" s="18" t="s">
        <v>1124</v>
      </c>
      <c r="G274" s="16" t="s">
        <v>362</v>
      </c>
      <c r="H274" s="20" t="s">
        <v>637</v>
      </c>
      <c r="I274" s="16">
        <f t="shared" si="28"/>
        <v>17</v>
      </c>
      <c r="J274" s="16">
        <v>17</v>
      </c>
      <c r="K274" s="16"/>
      <c r="L274" s="16" t="s">
        <v>139</v>
      </c>
      <c r="M274" s="16">
        <v>118</v>
      </c>
      <c r="N274" s="16">
        <v>305</v>
      </c>
      <c r="O274" s="16">
        <v>2</v>
      </c>
      <c r="P274" s="20">
        <v>5</v>
      </c>
      <c r="Q274" s="18" t="s">
        <v>1125</v>
      </c>
      <c r="R274" s="17" t="s">
        <v>365</v>
      </c>
      <c r="S274" s="17" t="s">
        <v>941</v>
      </c>
      <c r="T274" s="17"/>
    </row>
    <row r="275" s="1" customFormat="1" ht="147" customHeight="1" spans="1:20">
      <c r="A275" s="17">
        <f t="shared" si="33"/>
        <v>270</v>
      </c>
      <c r="B275" s="17" t="s">
        <v>58</v>
      </c>
      <c r="C275" s="19" t="s">
        <v>59</v>
      </c>
      <c r="D275" s="19" t="s">
        <v>61</v>
      </c>
      <c r="E275" s="16" t="s">
        <v>1126</v>
      </c>
      <c r="F275" s="18" t="s">
        <v>1127</v>
      </c>
      <c r="G275" s="16" t="s">
        <v>362</v>
      </c>
      <c r="H275" s="20" t="s">
        <v>371</v>
      </c>
      <c r="I275" s="16">
        <f t="shared" si="28"/>
        <v>20</v>
      </c>
      <c r="J275" s="16"/>
      <c r="K275" s="16">
        <v>20</v>
      </c>
      <c r="L275" s="16" t="s">
        <v>139</v>
      </c>
      <c r="M275" s="16">
        <v>136</v>
      </c>
      <c r="N275" s="16">
        <v>220</v>
      </c>
      <c r="O275" s="16">
        <v>3</v>
      </c>
      <c r="P275" s="20">
        <v>7</v>
      </c>
      <c r="Q275" s="18" t="s">
        <v>1128</v>
      </c>
      <c r="R275" s="17" t="s">
        <v>365</v>
      </c>
      <c r="S275" s="17" t="s">
        <v>941</v>
      </c>
      <c r="T275" s="17" t="s">
        <v>176</v>
      </c>
    </row>
    <row r="276" s="1" customFormat="1" ht="121.8" spans="1:20">
      <c r="A276" s="17">
        <f t="shared" si="33"/>
        <v>271</v>
      </c>
      <c r="B276" s="17" t="s">
        <v>58</v>
      </c>
      <c r="C276" s="19" t="s">
        <v>59</v>
      </c>
      <c r="D276" s="19" t="s">
        <v>61</v>
      </c>
      <c r="E276" s="16" t="s">
        <v>1129</v>
      </c>
      <c r="F276" s="18" t="s">
        <v>1130</v>
      </c>
      <c r="G276" s="16" t="s">
        <v>362</v>
      </c>
      <c r="H276" s="20" t="s">
        <v>371</v>
      </c>
      <c r="I276" s="16">
        <f t="shared" si="28"/>
        <v>120.5</v>
      </c>
      <c r="J276" s="16"/>
      <c r="K276" s="16">
        <v>120.5</v>
      </c>
      <c r="L276" s="16" t="s">
        <v>139</v>
      </c>
      <c r="M276" s="16">
        <v>220</v>
      </c>
      <c r="N276" s="16">
        <v>562</v>
      </c>
      <c r="O276" s="16">
        <v>9</v>
      </c>
      <c r="P276" s="20">
        <v>11</v>
      </c>
      <c r="Q276" s="18" t="s">
        <v>1131</v>
      </c>
      <c r="R276" s="17" t="s">
        <v>365</v>
      </c>
      <c r="S276" s="17" t="s">
        <v>941</v>
      </c>
      <c r="T276" s="17" t="s">
        <v>176</v>
      </c>
    </row>
    <row r="277" ht="144" customHeight="1" spans="1:20">
      <c r="A277" s="17">
        <f t="shared" si="33"/>
        <v>272</v>
      </c>
      <c r="B277" s="16" t="s">
        <v>58</v>
      </c>
      <c r="C277" s="16" t="s">
        <v>59</v>
      </c>
      <c r="D277" s="16" t="s">
        <v>61</v>
      </c>
      <c r="E277" s="16" t="s">
        <v>1132</v>
      </c>
      <c r="F277" s="18" t="s">
        <v>1133</v>
      </c>
      <c r="G277" s="16" t="s">
        <v>257</v>
      </c>
      <c r="H277" s="16" t="s">
        <v>274</v>
      </c>
      <c r="I277" s="16">
        <f t="shared" si="28"/>
        <v>72</v>
      </c>
      <c r="J277" s="16">
        <v>72</v>
      </c>
      <c r="K277" s="16"/>
      <c r="L277" s="16" t="s">
        <v>139</v>
      </c>
      <c r="M277" s="16">
        <v>65</v>
      </c>
      <c r="N277" s="16">
        <v>195</v>
      </c>
      <c r="O277" s="16">
        <v>5</v>
      </c>
      <c r="P277" s="16">
        <v>10</v>
      </c>
      <c r="Q277" s="18" t="s">
        <v>1134</v>
      </c>
      <c r="R277" s="16" t="s">
        <v>941</v>
      </c>
      <c r="S277" s="16" t="s">
        <v>941</v>
      </c>
      <c r="T277" s="17"/>
    </row>
    <row r="278" ht="136" customHeight="1" spans="1:20">
      <c r="A278" s="17">
        <f t="shared" ref="A278:A287" si="34">ROW()-5</f>
        <v>273</v>
      </c>
      <c r="B278" s="17" t="s">
        <v>58</v>
      </c>
      <c r="C278" s="19" t="s">
        <v>59</v>
      </c>
      <c r="D278" s="17" t="s">
        <v>61</v>
      </c>
      <c r="E278" s="17" t="s">
        <v>1135</v>
      </c>
      <c r="F278" s="21" t="s">
        <v>1136</v>
      </c>
      <c r="G278" s="17" t="s">
        <v>207</v>
      </c>
      <c r="H278" s="17" t="s">
        <v>693</v>
      </c>
      <c r="I278" s="16">
        <f t="shared" si="28"/>
        <v>30</v>
      </c>
      <c r="J278" s="17">
        <v>30</v>
      </c>
      <c r="K278" s="17"/>
      <c r="L278" s="17" t="s">
        <v>139</v>
      </c>
      <c r="M278" s="17">
        <v>89</v>
      </c>
      <c r="N278" s="17">
        <v>273</v>
      </c>
      <c r="O278" s="17">
        <v>5</v>
      </c>
      <c r="P278" s="17">
        <v>10</v>
      </c>
      <c r="Q278" s="21" t="s">
        <v>1137</v>
      </c>
      <c r="R278" s="17" t="s">
        <v>210</v>
      </c>
      <c r="S278" s="17" t="s">
        <v>941</v>
      </c>
      <c r="T278" s="17"/>
    </row>
    <row r="279" ht="132" customHeight="1" spans="1:20">
      <c r="A279" s="17">
        <f t="shared" si="34"/>
        <v>274</v>
      </c>
      <c r="B279" s="17" t="s">
        <v>58</v>
      </c>
      <c r="C279" s="19" t="s">
        <v>59</v>
      </c>
      <c r="D279" s="17" t="s">
        <v>61</v>
      </c>
      <c r="E279" s="17" t="s">
        <v>1138</v>
      </c>
      <c r="F279" s="21" t="s">
        <v>1139</v>
      </c>
      <c r="G279" s="17" t="s">
        <v>207</v>
      </c>
      <c r="H279" s="17" t="s">
        <v>885</v>
      </c>
      <c r="I279" s="16">
        <f t="shared" si="28"/>
        <v>56.25</v>
      </c>
      <c r="J279" s="17">
        <v>56.25</v>
      </c>
      <c r="K279" s="17"/>
      <c r="L279" s="17" t="s">
        <v>139</v>
      </c>
      <c r="M279" s="17">
        <v>116</v>
      </c>
      <c r="N279" s="17">
        <v>226</v>
      </c>
      <c r="O279" s="17">
        <v>6</v>
      </c>
      <c r="P279" s="17">
        <v>8</v>
      </c>
      <c r="Q279" s="21" t="s">
        <v>1140</v>
      </c>
      <c r="R279" s="17" t="s">
        <v>210</v>
      </c>
      <c r="S279" s="17" t="s">
        <v>941</v>
      </c>
      <c r="T279" s="17"/>
    </row>
    <row r="280" ht="121.8" spans="1:20">
      <c r="A280" s="17">
        <f t="shared" si="34"/>
        <v>275</v>
      </c>
      <c r="B280" s="17" t="s">
        <v>58</v>
      </c>
      <c r="C280" s="17" t="s">
        <v>59</v>
      </c>
      <c r="D280" s="17" t="s">
        <v>61</v>
      </c>
      <c r="E280" s="17" t="s">
        <v>1141</v>
      </c>
      <c r="F280" s="21" t="s">
        <v>1142</v>
      </c>
      <c r="G280" s="17" t="s">
        <v>232</v>
      </c>
      <c r="H280" s="17" t="s">
        <v>238</v>
      </c>
      <c r="I280" s="16">
        <f t="shared" si="28"/>
        <v>51.9</v>
      </c>
      <c r="J280" s="17">
        <v>51.9</v>
      </c>
      <c r="K280" s="17"/>
      <c r="L280" s="17" t="s">
        <v>139</v>
      </c>
      <c r="M280" s="17">
        <v>302</v>
      </c>
      <c r="N280" s="17">
        <v>776</v>
      </c>
      <c r="O280" s="17">
        <v>9</v>
      </c>
      <c r="P280" s="17">
        <v>15</v>
      </c>
      <c r="Q280" s="21" t="s">
        <v>1143</v>
      </c>
      <c r="R280" s="17" t="s">
        <v>240</v>
      </c>
      <c r="S280" s="17" t="s">
        <v>941</v>
      </c>
      <c r="T280" s="17"/>
    </row>
    <row r="281" ht="141" customHeight="1" spans="1:20">
      <c r="A281" s="17">
        <f t="shared" si="34"/>
        <v>276</v>
      </c>
      <c r="B281" s="17" t="s">
        <v>58</v>
      </c>
      <c r="C281" s="17" t="s">
        <v>59</v>
      </c>
      <c r="D281" s="17" t="s">
        <v>61</v>
      </c>
      <c r="E281" s="17" t="s">
        <v>1144</v>
      </c>
      <c r="F281" s="21" t="s">
        <v>1145</v>
      </c>
      <c r="G281" s="17" t="s">
        <v>232</v>
      </c>
      <c r="H281" s="17" t="s">
        <v>641</v>
      </c>
      <c r="I281" s="16">
        <f t="shared" si="28"/>
        <v>90</v>
      </c>
      <c r="J281" s="17">
        <v>90</v>
      </c>
      <c r="K281" s="17"/>
      <c r="L281" s="17" t="s">
        <v>139</v>
      </c>
      <c r="M281" s="17">
        <v>96</v>
      </c>
      <c r="N281" s="17">
        <v>244</v>
      </c>
      <c r="O281" s="17">
        <v>4</v>
      </c>
      <c r="P281" s="17">
        <v>10</v>
      </c>
      <c r="Q281" s="21" t="s">
        <v>1146</v>
      </c>
      <c r="R281" s="17" t="s">
        <v>240</v>
      </c>
      <c r="S281" s="17" t="s">
        <v>941</v>
      </c>
      <c r="T281" s="17"/>
    </row>
    <row r="282" ht="151" customHeight="1" spans="1:20">
      <c r="A282" s="17">
        <f t="shared" si="34"/>
        <v>277</v>
      </c>
      <c r="B282" s="17" t="s">
        <v>58</v>
      </c>
      <c r="C282" s="17" t="s">
        <v>59</v>
      </c>
      <c r="D282" s="17" t="s">
        <v>61</v>
      </c>
      <c r="E282" s="17" t="s">
        <v>1147</v>
      </c>
      <c r="F282" s="21" t="s">
        <v>1148</v>
      </c>
      <c r="G282" s="17" t="s">
        <v>412</v>
      </c>
      <c r="H282" s="17" t="s">
        <v>418</v>
      </c>
      <c r="I282" s="16">
        <f t="shared" si="28"/>
        <v>9.8963</v>
      </c>
      <c r="J282" s="17">
        <v>9.8963</v>
      </c>
      <c r="K282" s="17"/>
      <c r="L282" s="17" t="s">
        <v>139</v>
      </c>
      <c r="M282" s="17">
        <v>21</v>
      </c>
      <c r="N282" s="17">
        <v>89</v>
      </c>
      <c r="O282" s="17">
        <v>1</v>
      </c>
      <c r="P282" s="17">
        <v>1</v>
      </c>
      <c r="Q282" s="21" t="s">
        <v>1149</v>
      </c>
      <c r="R282" s="17" t="s">
        <v>415</v>
      </c>
      <c r="S282" s="17" t="s">
        <v>941</v>
      </c>
      <c r="T282" s="17" t="s">
        <v>176</v>
      </c>
    </row>
    <row r="283" ht="132" customHeight="1" spans="1:20">
      <c r="A283" s="17">
        <f t="shared" si="34"/>
        <v>278</v>
      </c>
      <c r="B283" s="17" t="s">
        <v>58</v>
      </c>
      <c r="C283" s="19" t="s">
        <v>59</v>
      </c>
      <c r="D283" s="19" t="s">
        <v>61</v>
      </c>
      <c r="E283" s="17" t="s">
        <v>1150</v>
      </c>
      <c r="F283" s="21" t="s">
        <v>1151</v>
      </c>
      <c r="G283" s="17" t="s">
        <v>362</v>
      </c>
      <c r="H283" s="17" t="s">
        <v>1027</v>
      </c>
      <c r="I283" s="16">
        <f t="shared" ref="I283:I288" si="35">J283+K283</f>
        <v>58.5</v>
      </c>
      <c r="J283" s="17">
        <v>58.5</v>
      </c>
      <c r="K283" s="17"/>
      <c r="L283" s="17" t="s">
        <v>139</v>
      </c>
      <c r="M283" s="17">
        <v>48</v>
      </c>
      <c r="N283" s="17">
        <v>142</v>
      </c>
      <c r="O283" s="17">
        <v>4</v>
      </c>
      <c r="P283" s="17">
        <v>6</v>
      </c>
      <c r="Q283" s="21" t="s">
        <v>1152</v>
      </c>
      <c r="R283" s="17" t="s">
        <v>941</v>
      </c>
      <c r="S283" s="17" t="s">
        <v>941</v>
      </c>
      <c r="T283" s="17"/>
    </row>
    <row r="284" ht="129" customHeight="1" spans="1:20">
      <c r="A284" s="17">
        <f t="shared" si="34"/>
        <v>279</v>
      </c>
      <c r="B284" s="17" t="s">
        <v>58</v>
      </c>
      <c r="C284" s="19" t="s">
        <v>59</v>
      </c>
      <c r="D284" s="19" t="s">
        <v>61</v>
      </c>
      <c r="E284" s="17" t="s">
        <v>1153</v>
      </c>
      <c r="F284" s="21" t="s">
        <v>1154</v>
      </c>
      <c r="G284" s="17" t="s">
        <v>194</v>
      </c>
      <c r="H284" s="19" t="s">
        <v>675</v>
      </c>
      <c r="I284" s="16">
        <f t="shared" si="35"/>
        <v>49</v>
      </c>
      <c r="J284" s="17">
        <v>49</v>
      </c>
      <c r="K284" s="17"/>
      <c r="L284" s="17" t="s">
        <v>139</v>
      </c>
      <c r="M284" s="17">
        <v>483</v>
      </c>
      <c r="N284" s="17">
        <v>1238</v>
      </c>
      <c r="O284" s="17">
        <v>20</v>
      </c>
      <c r="P284" s="19">
        <v>36</v>
      </c>
      <c r="Q284" s="21" t="s">
        <v>1155</v>
      </c>
      <c r="R284" s="17" t="s">
        <v>194</v>
      </c>
      <c r="S284" s="17" t="s">
        <v>941</v>
      </c>
      <c r="T284" s="17"/>
    </row>
    <row r="285" ht="121.8" spans="1:20">
      <c r="A285" s="17">
        <f t="shared" si="34"/>
        <v>280</v>
      </c>
      <c r="B285" s="19" t="s">
        <v>58</v>
      </c>
      <c r="C285" s="19" t="s">
        <v>59</v>
      </c>
      <c r="D285" s="17" t="s">
        <v>61</v>
      </c>
      <c r="E285" s="19" t="s">
        <v>1156</v>
      </c>
      <c r="F285" s="21" t="s">
        <v>1157</v>
      </c>
      <c r="G285" s="19" t="s">
        <v>194</v>
      </c>
      <c r="H285" s="19" t="s">
        <v>671</v>
      </c>
      <c r="I285" s="16">
        <f t="shared" si="35"/>
        <v>25</v>
      </c>
      <c r="J285" s="19">
        <v>25</v>
      </c>
      <c r="K285" s="19"/>
      <c r="L285" s="19" t="s">
        <v>139</v>
      </c>
      <c r="M285" s="19">
        <v>708</v>
      </c>
      <c r="N285" s="19">
        <v>1756</v>
      </c>
      <c r="O285" s="19">
        <v>32</v>
      </c>
      <c r="P285" s="19">
        <v>68</v>
      </c>
      <c r="Q285" s="31" t="s">
        <v>1158</v>
      </c>
      <c r="R285" s="19" t="s">
        <v>194</v>
      </c>
      <c r="S285" s="19" t="s">
        <v>941</v>
      </c>
      <c r="T285" s="17"/>
    </row>
    <row r="286" ht="137" customHeight="1" spans="1:20">
      <c r="A286" s="17">
        <f t="shared" si="34"/>
        <v>281</v>
      </c>
      <c r="B286" s="17" t="s">
        <v>58</v>
      </c>
      <c r="C286" s="19" t="s">
        <v>59</v>
      </c>
      <c r="D286" s="17" t="s">
        <v>61</v>
      </c>
      <c r="E286" s="17" t="s">
        <v>1159</v>
      </c>
      <c r="F286" s="21" t="s">
        <v>1160</v>
      </c>
      <c r="G286" s="17" t="s">
        <v>183</v>
      </c>
      <c r="H286" s="17" t="s">
        <v>580</v>
      </c>
      <c r="I286" s="16">
        <f t="shared" si="35"/>
        <v>210</v>
      </c>
      <c r="J286" s="17">
        <v>210</v>
      </c>
      <c r="K286" s="17"/>
      <c r="L286" s="17" t="s">
        <v>139</v>
      </c>
      <c r="M286" s="17">
        <v>410</v>
      </c>
      <c r="N286" s="17">
        <v>1094</v>
      </c>
      <c r="O286" s="17">
        <v>19</v>
      </c>
      <c r="P286" s="17">
        <v>44</v>
      </c>
      <c r="Q286" s="21" t="s">
        <v>1161</v>
      </c>
      <c r="R286" s="17" t="s">
        <v>183</v>
      </c>
      <c r="S286" s="17" t="s">
        <v>941</v>
      </c>
      <c r="T286" s="17"/>
    </row>
    <row r="287" ht="152" customHeight="1" spans="1:20">
      <c r="A287" s="17">
        <f t="shared" si="34"/>
        <v>282</v>
      </c>
      <c r="B287" s="17" t="s">
        <v>58</v>
      </c>
      <c r="C287" s="19" t="s">
        <v>59</v>
      </c>
      <c r="D287" s="17" t="s">
        <v>61</v>
      </c>
      <c r="E287" s="17" t="s">
        <v>1162</v>
      </c>
      <c r="F287" s="21" t="s">
        <v>1163</v>
      </c>
      <c r="G287" s="17" t="s">
        <v>173</v>
      </c>
      <c r="H287" s="17" t="s">
        <v>1164</v>
      </c>
      <c r="I287" s="16">
        <f t="shared" si="35"/>
        <v>65</v>
      </c>
      <c r="J287" s="17">
        <v>65</v>
      </c>
      <c r="K287" s="17"/>
      <c r="L287" s="17" t="s">
        <v>139</v>
      </c>
      <c r="M287" s="17">
        <v>171</v>
      </c>
      <c r="N287" s="17">
        <v>552</v>
      </c>
      <c r="O287" s="17">
        <v>11</v>
      </c>
      <c r="P287" s="17">
        <v>19</v>
      </c>
      <c r="Q287" s="21" t="s">
        <v>1165</v>
      </c>
      <c r="R287" s="17" t="s">
        <v>173</v>
      </c>
      <c r="S287" s="17" t="s">
        <v>941</v>
      </c>
      <c r="T287" s="17"/>
    </row>
    <row r="288" ht="133" customHeight="1" spans="1:20">
      <c r="A288" s="17">
        <f t="shared" ref="A288:A297" si="36">ROW()-5</f>
        <v>283</v>
      </c>
      <c r="B288" s="19" t="s">
        <v>58</v>
      </c>
      <c r="C288" s="19" t="s">
        <v>59</v>
      </c>
      <c r="D288" s="19" t="s">
        <v>61</v>
      </c>
      <c r="E288" s="19" t="s">
        <v>1166</v>
      </c>
      <c r="F288" s="31" t="s">
        <v>1167</v>
      </c>
      <c r="G288" s="19" t="s">
        <v>316</v>
      </c>
      <c r="H288" s="19" t="s">
        <v>322</v>
      </c>
      <c r="I288" s="16">
        <f t="shared" si="35"/>
        <v>35</v>
      </c>
      <c r="J288" s="36">
        <v>35</v>
      </c>
      <c r="K288" s="19">
        <v>0</v>
      </c>
      <c r="L288" s="16" t="s">
        <v>139</v>
      </c>
      <c r="M288" s="19">
        <v>32</v>
      </c>
      <c r="N288" s="19">
        <v>94</v>
      </c>
      <c r="O288" s="19">
        <v>0</v>
      </c>
      <c r="P288" s="19">
        <v>0</v>
      </c>
      <c r="Q288" s="31" t="s">
        <v>1168</v>
      </c>
      <c r="R288" s="19" t="s">
        <v>941</v>
      </c>
      <c r="S288" s="19" t="s">
        <v>941</v>
      </c>
      <c r="T288" s="17"/>
    </row>
    <row r="289" s="1" customFormat="1" ht="118" customHeight="1" spans="1:20">
      <c r="A289" s="17">
        <f t="shared" si="36"/>
        <v>284</v>
      </c>
      <c r="B289" s="17" t="s">
        <v>58</v>
      </c>
      <c r="C289" s="19" t="s">
        <v>59</v>
      </c>
      <c r="D289" s="19" t="s">
        <v>63</v>
      </c>
      <c r="E289" s="16" t="s">
        <v>1169</v>
      </c>
      <c r="F289" s="18" t="s">
        <v>1170</v>
      </c>
      <c r="G289" s="16" t="s">
        <v>913</v>
      </c>
      <c r="H289" s="20" t="s">
        <v>227</v>
      </c>
      <c r="I289" s="16">
        <f t="shared" ref="I289:I313" si="37">J289+K289</f>
        <v>280</v>
      </c>
      <c r="J289" s="16">
        <v>280</v>
      </c>
      <c r="K289" s="16"/>
      <c r="L289" s="16" t="s">
        <v>139</v>
      </c>
      <c r="M289" s="16">
        <v>1267</v>
      </c>
      <c r="N289" s="16">
        <v>3168</v>
      </c>
      <c r="O289" s="16">
        <v>235</v>
      </c>
      <c r="P289" s="20">
        <v>354</v>
      </c>
      <c r="Q289" s="18" t="s">
        <v>1171</v>
      </c>
      <c r="R289" s="17" t="s">
        <v>913</v>
      </c>
      <c r="S289" s="17" t="s">
        <v>1172</v>
      </c>
      <c r="T289" s="17"/>
    </row>
    <row r="290" s="1" customFormat="1" ht="118" customHeight="1" spans="1:20">
      <c r="A290" s="17">
        <f t="shared" si="36"/>
        <v>285</v>
      </c>
      <c r="B290" s="17" t="s">
        <v>58</v>
      </c>
      <c r="C290" s="19" t="s">
        <v>59</v>
      </c>
      <c r="D290" s="19" t="s">
        <v>63</v>
      </c>
      <c r="E290" s="16" t="s">
        <v>1173</v>
      </c>
      <c r="F290" s="18" t="s">
        <v>1174</v>
      </c>
      <c r="G290" s="16" t="s">
        <v>913</v>
      </c>
      <c r="H290" s="20" t="s">
        <v>227</v>
      </c>
      <c r="I290" s="16">
        <f t="shared" si="37"/>
        <v>220</v>
      </c>
      <c r="J290" s="16">
        <v>220</v>
      </c>
      <c r="K290" s="16"/>
      <c r="L290" s="16" t="s">
        <v>139</v>
      </c>
      <c r="M290" s="16">
        <v>2173</v>
      </c>
      <c r="N290" s="16">
        <v>5364</v>
      </c>
      <c r="O290" s="16">
        <v>524</v>
      </c>
      <c r="P290" s="20">
        <v>739</v>
      </c>
      <c r="Q290" s="18" t="s">
        <v>1175</v>
      </c>
      <c r="R290" s="17" t="s">
        <v>913</v>
      </c>
      <c r="S290" s="17" t="s">
        <v>1172</v>
      </c>
      <c r="T290" s="17"/>
    </row>
    <row r="291" s="1" customFormat="1" ht="130" customHeight="1" spans="1:20">
      <c r="A291" s="17">
        <f t="shared" si="36"/>
        <v>286</v>
      </c>
      <c r="B291" s="17" t="s">
        <v>58</v>
      </c>
      <c r="C291" s="19" t="s">
        <v>59</v>
      </c>
      <c r="D291" s="19" t="s">
        <v>63</v>
      </c>
      <c r="E291" s="16" t="s">
        <v>1176</v>
      </c>
      <c r="F291" s="18" t="s">
        <v>1177</v>
      </c>
      <c r="G291" s="16" t="s">
        <v>913</v>
      </c>
      <c r="H291" s="20" t="s">
        <v>227</v>
      </c>
      <c r="I291" s="16">
        <f t="shared" si="37"/>
        <v>200</v>
      </c>
      <c r="J291" s="16">
        <v>200</v>
      </c>
      <c r="K291" s="16"/>
      <c r="L291" s="16" t="s">
        <v>139</v>
      </c>
      <c r="M291" s="16">
        <v>27267</v>
      </c>
      <c r="N291" s="16">
        <v>52475</v>
      </c>
      <c r="O291" s="16">
        <v>2645</v>
      </c>
      <c r="P291" s="20">
        <v>5155</v>
      </c>
      <c r="Q291" s="18" t="s">
        <v>1178</v>
      </c>
      <c r="R291" s="17" t="s">
        <v>913</v>
      </c>
      <c r="S291" s="17" t="s">
        <v>1172</v>
      </c>
      <c r="T291" s="17"/>
    </row>
    <row r="292" s="1" customFormat="1" ht="130" customHeight="1" spans="1:20">
      <c r="A292" s="17">
        <f t="shared" si="36"/>
        <v>287</v>
      </c>
      <c r="B292" s="16" t="s">
        <v>58</v>
      </c>
      <c r="C292" s="16" t="s">
        <v>59</v>
      </c>
      <c r="D292" s="16" t="s">
        <v>63</v>
      </c>
      <c r="E292" s="16" t="s">
        <v>1179</v>
      </c>
      <c r="F292" s="18" t="s">
        <v>1180</v>
      </c>
      <c r="G292" s="16" t="s">
        <v>257</v>
      </c>
      <c r="H292" s="16" t="s">
        <v>266</v>
      </c>
      <c r="I292" s="16">
        <f t="shared" si="37"/>
        <v>85</v>
      </c>
      <c r="J292" s="16">
        <v>85</v>
      </c>
      <c r="K292" s="16"/>
      <c r="L292" s="16" t="s">
        <v>139</v>
      </c>
      <c r="M292" s="16">
        <v>69</v>
      </c>
      <c r="N292" s="16">
        <v>269</v>
      </c>
      <c r="O292" s="16">
        <v>10</v>
      </c>
      <c r="P292" s="16">
        <v>20</v>
      </c>
      <c r="Q292" s="18" t="s">
        <v>1181</v>
      </c>
      <c r="R292" s="16" t="s">
        <v>260</v>
      </c>
      <c r="S292" s="16" t="s">
        <v>1172</v>
      </c>
      <c r="T292" s="17"/>
    </row>
    <row r="293" ht="104.4" spans="1:20">
      <c r="A293" s="17">
        <f t="shared" si="36"/>
        <v>288</v>
      </c>
      <c r="B293" s="17" t="s">
        <v>58</v>
      </c>
      <c r="C293" s="19" t="s">
        <v>59</v>
      </c>
      <c r="D293" s="19" t="s">
        <v>63</v>
      </c>
      <c r="E293" s="17" t="s">
        <v>1182</v>
      </c>
      <c r="F293" s="21" t="s">
        <v>1183</v>
      </c>
      <c r="G293" s="17" t="s">
        <v>362</v>
      </c>
      <c r="H293" s="17" t="s">
        <v>1184</v>
      </c>
      <c r="I293" s="16">
        <f t="shared" si="37"/>
        <v>22</v>
      </c>
      <c r="J293" s="17">
        <v>22</v>
      </c>
      <c r="K293" s="17"/>
      <c r="L293" s="17" t="s">
        <v>139</v>
      </c>
      <c r="M293" s="17">
        <v>168</v>
      </c>
      <c r="N293" s="17">
        <v>497</v>
      </c>
      <c r="O293" s="17">
        <v>8</v>
      </c>
      <c r="P293" s="17">
        <v>20</v>
      </c>
      <c r="Q293" s="21" t="s">
        <v>1185</v>
      </c>
      <c r="R293" s="17" t="s">
        <v>365</v>
      </c>
      <c r="S293" s="17" t="s">
        <v>1172</v>
      </c>
      <c r="T293" s="17"/>
    </row>
    <row r="294" ht="115" customHeight="1" spans="1:20">
      <c r="A294" s="17">
        <f t="shared" si="36"/>
        <v>289</v>
      </c>
      <c r="B294" s="17" t="s">
        <v>58</v>
      </c>
      <c r="C294" s="19" t="s">
        <v>59</v>
      </c>
      <c r="D294" s="17" t="s">
        <v>63</v>
      </c>
      <c r="E294" s="17" t="s">
        <v>1186</v>
      </c>
      <c r="F294" s="21" t="s">
        <v>1187</v>
      </c>
      <c r="G294" s="17" t="s">
        <v>213</v>
      </c>
      <c r="H294" s="17" t="s">
        <v>1188</v>
      </c>
      <c r="I294" s="16">
        <f t="shared" si="37"/>
        <v>26.11</v>
      </c>
      <c r="J294" s="17">
        <v>26.11</v>
      </c>
      <c r="K294" s="17"/>
      <c r="L294" s="17" t="s">
        <v>139</v>
      </c>
      <c r="M294" s="17">
        <v>68</v>
      </c>
      <c r="N294" s="17">
        <v>187</v>
      </c>
      <c r="O294" s="17">
        <v>3</v>
      </c>
      <c r="P294" s="17">
        <v>7</v>
      </c>
      <c r="Q294" s="21" t="s">
        <v>1189</v>
      </c>
      <c r="R294" s="17" t="s">
        <v>1172</v>
      </c>
      <c r="S294" s="17" t="s">
        <v>1172</v>
      </c>
      <c r="T294" s="17"/>
    </row>
    <row r="295" ht="111" customHeight="1" spans="1:20">
      <c r="A295" s="17">
        <f t="shared" si="36"/>
        <v>290</v>
      </c>
      <c r="B295" s="17" t="s">
        <v>58</v>
      </c>
      <c r="C295" s="19" t="s">
        <v>59</v>
      </c>
      <c r="D295" s="17" t="s">
        <v>63</v>
      </c>
      <c r="E295" s="17" t="s">
        <v>1190</v>
      </c>
      <c r="F295" s="21" t="s">
        <v>1191</v>
      </c>
      <c r="G295" s="17" t="s">
        <v>213</v>
      </c>
      <c r="H295" s="17" t="s">
        <v>1188</v>
      </c>
      <c r="I295" s="16">
        <f t="shared" si="37"/>
        <v>43</v>
      </c>
      <c r="J295" s="17">
        <v>43</v>
      </c>
      <c r="K295" s="17"/>
      <c r="L295" s="17" t="s">
        <v>139</v>
      </c>
      <c r="M295" s="17">
        <v>75</v>
      </c>
      <c r="N295" s="17">
        <v>242</v>
      </c>
      <c r="O295" s="17">
        <v>4</v>
      </c>
      <c r="P295" s="17">
        <v>5</v>
      </c>
      <c r="Q295" s="21" t="s">
        <v>1192</v>
      </c>
      <c r="R295" s="17" t="s">
        <v>1172</v>
      </c>
      <c r="S295" s="17" t="s">
        <v>1172</v>
      </c>
      <c r="T295" s="17"/>
    </row>
    <row r="296" ht="104.4" spans="1:20">
      <c r="A296" s="17">
        <f t="shared" si="36"/>
        <v>291</v>
      </c>
      <c r="B296" s="17" t="s">
        <v>58</v>
      </c>
      <c r="C296" s="19" t="s">
        <v>59</v>
      </c>
      <c r="D296" s="17" t="s">
        <v>63</v>
      </c>
      <c r="E296" s="17" t="s">
        <v>1193</v>
      </c>
      <c r="F296" s="21" t="s">
        <v>1194</v>
      </c>
      <c r="G296" s="17" t="s">
        <v>213</v>
      </c>
      <c r="H296" s="17" t="s">
        <v>1195</v>
      </c>
      <c r="I296" s="16">
        <f t="shared" si="37"/>
        <v>27</v>
      </c>
      <c r="J296" s="17">
        <v>27</v>
      </c>
      <c r="K296" s="17"/>
      <c r="L296" s="17" t="s">
        <v>139</v>
      </c>
      <c r="M296" s="17">
        <v>26</v>
      </c>
      <c r="N296" s="17">
        <v>71</v>
      </c>
      <c r="O296" s="17">
        <v>3</v>
      </c>
      <c r="P296" s="17">
        <v>7</v>
      </c>
      <c r="Q296" s="21" t="s">
        <v>1196</v>
      </c>
      <c r="R296" s="17" t="s">
        <v>1172</v>
      </c>
      <c r="S296" s="17" t="s">
        <v>1172</v>
      </c>
      <c r="T296" s="17"/>
    </row>
    <row r="297" ht="99" customHeight="1" spans="1:20">
      <c r="A297" s="17">
        <f t="shared" si="36"/>
        <v>292</v>
      </c>
      <c r="B297" s="17" t="s">
        <v>58</v>
      </c>
      <c r="C297" s="19" t="s">
        <v>59</v>
      </c>
      <c r="D297" s="19" t="s">
        <v>63</v>
      </c>
      <c r="E297" s="17" t="s">
        <v>1197</v>
      </c>
      <c r="F297" s="21" t="s">
        <v>1198</v>
      </c>
      <c r="G297" s="17" t="s">
        <v>316</v>
      </c>
      <c r="H297" s="19" t="s">
        <v>317</v>
      </c>
      <c r="I297" s="16">
        <f t="shared" si="37"/>
        <v>33</v>
      </c>
      <c r="J297" s="17">
        <v>33</v>
      </c>
      <c r="K297" s="17"/>
      <c r="L297" s="17" t="s">
        <v>139</v>
      </c>
      <c r="M297" s="17">
        <v>78</v>
      </c>
      <c r="N297" s="17">
        <v>304</v>
      </c>
      <c r="O297" s="17">
        <v>1</v>
      </c>
      <c r="P297" s="19">
        <v>1</v>
      </c>
      <c r="Q297" s="21" t="s">
        <v>1199</v>
      </c>
      <c r="R297" s="17" t="s">
        <v>319</v>
      </c>
      <c r="S297" s="17" t="s">
        <v>1172</v>
      </c>
      <c r="T297" s="17"/>
    </row>
    <row r="298" ht="100" customHeight="1" spans="1:20">
      <c r="A298" s="17">
        <f t="shared" ref="A298:A307" si="38">ROW()-5</f>
        <v>293</v>
      </c>
      <c r="B298" s="17" t="s">
        <v>58</v>
      </c>
      <c r="C298" s="19" t="s">
        <v>59</v>
      </c>
      <c r="D298" s="19" t="s">
        <v>63</v>
      </c>
      <c r="E298" s="17" t="s">
        <v>1200</v>
      </c>
      <c r="F298" s="21" t="s">
        <v>1201</v>
      </c>
      <c r="G298" s="17" t="s">
        <v>232</v>
      </c>
      <c r="H298" s="19" t="s">
        <v>1003</v>
      </c>
      <c r="I298" s="16">
        <f t="shared" si="37"/>
        <v>33</v>
      </c>
      <c r="J298" s="17">
        <v>33</v>
      </c>
      <c r="K298" s="17"/>
      <c r="L298" s="17" t="s">
        <v>139</v>
      </c>
      <c r="M298" s="17">
        <v>113</v>
      </c>
      <c r="N298" s="17">
        <v>265</v>
      </c>
      <c r="O298" s="17">
        <v>4</v>
      </c>
      <c r="P298" s="19">
        <v>7</v>
      </c>
      <c r="Q298" s="21" t="s">
        <v>1202</v>
      </c>
      <c r="R298" s="17" t="s">
        <v>240</v>
      </c>
      <c r="S298" s="17" t="s">
        <v>1172</v>
      </c>
      <c r="T298" s="17"/>
    </row>
    <row r="299" ht="203" customHeight="1" spans="1:20">
      <c r="A299" s="17">
        <f t="shared" si="38"/>
        <v>294</v>
      </c>
      <c r="B299" s="17" t="s">
        <v>58</v>
      </c>
      <c r="C299" s="19" t="s">
        <v>59</v>
      </c>
      <c r="D299" s="19" t="s">
        <v>63</v>
      </c>
      <c r="E299" s="17" t="s">
        <v>1203</v>
      </c>
      <c r="F299" s="21" t="s">
        <v>1204</v>
      </c>
      <c r="G299" s="17" t="s">
        <v>232</v>
      </c>
      <c r="H299" s="17" t="s">
        <v>243</v>
      </c>
      <c r="I299" s="16">
        <f t="shared" si="37"/>
        <v>43.54</v>
      </c>
      <c r="J299" s="17">
        <v>43.54</v>
      </c>
      <c r="K299" s="17"/>
      <c r="L299" s="17" t="s">
        <v>139</v>
      </c>
      <c r="M299" s="17">
        <v>56</v>
      </c>
      <c r="N299" s="17" t="s">
        <v>1205</v>
      </c>
      <c r="O299" s="17">
        <v>1</v>
      </c>
      <c r="P299" s="19">
        <v>1</v>
      </c>
      <c r="Q299" s="21" t="s">
        <v>1206</v>
      </c>
      <c r="R299" s="17" t="s">
        <v>240</v>
      </c>
      <c r="S299" s="17" t="s">
        <v>1172</v>
      </c>
      <c r="T299" s="17"/>
    </row>
    <row r="300" ht="102" customHeight="1" spans="1:20">
      <c r="A300" s="17">
        <f t="shared" si="38"/>
        <v>295</v>
      </c>
      <c r="B300" s="17" t="s">
        <v>58</v>
      </c>
      <c r="C300" s="19" t="s">
        <v>59</v>
      </c>
      <c r="D300" s="19" t="s">
        <v>63</v>
      </c>
      <c r="E300" s="17" t="s">
        <v>1207</v>
      </c>
      <c r="F300" s="21" t="s">
        <v>1208</v>
      </c>
      <c r="G300" s="17" t="s">
        <v>232</v>
      </c>
      <c r="H300" s="19" t="s">
        <v>476</v>
      </c>
      <c r="I300" s="16">
        <f t="shared" si="37"/>
        <v>72</v>
      </c>
      <c r="J300" s="17">
        <v>72</v>
      </c>
      <c r="K300" s="17"/>
      <c r="L300" s="17" t="s">
        <v>139</v>
      </c>
      <c r="M300" s="17">
        <v>486</v>
      </c>
      <c r="N300" s="17">
        <v>1436</v>
      </c>
      <c r="O300" s="17">
        <v>21</v>
      </c>
      <c r="P300" s="19">
        <v>44</v>
      </c>
      <c r="Q300" s="21" t="s">
        <v>1209</v>
      </c>
      <c r="R300" s="17" t="s">
        <v>240</v>
      </c>
      <c r="S300" s="17" t="s">
        <v>1172</v>
      </c>
      <c r="T300" s="17"/>
    </row>
    <row r="301" s="1" customFormat="1" ht="104.4" spans="1:20">
      <c r="A301" s="17">
        <f t="shared" si="38"/>
        <v>296</v>
      </c>
      <c r="B301" s="17" t="s">
        <v>58</v>
      </c>
      <c r="C301" s="19" t="s">
        <v>59</v>
      </c>
      <c r="D301" s="19" t="s">
        <v>63</v>
      </c>
      <c r="E301" s="16" t="s">
        <v>1210</v>
      </c>
      <c r="F301" s="18" t="s">
        <v>1211</v>
      </c>
      <c r="G301" s="16" t="s">
        <v>137</v>
      </c>
      <c r="H301" s="20" t="s">
        <v>146</v>
      </c>
      <c r="I301" s="16">
        <f t="shared" si="37"/>
        <v>50</v>
      </c>
      <c r="J301" s="16">
        <v>50</v>
      </c>
      <c r="K301" s="16"/>
      <c r="L301" s="16" t="s">
        <v>139</v>
      </c>
      <c r="M301" s="16">
        <v>47</v>
      </c>
      <c r="N301" s="16">
        <v>75</v>
      </c>
      <c r="O301" s="16">
        <v>1</v>
      </c>
      <c r="P301" s="20">
        <v>2</v>
      </c>
      <c r="Q301" s="18" t="s">
        <v>1212</v>
      </c>
      <c r="R301" s="17" t="s">
        <v>141</v>
      </c>
      <c r="S301" s="17" t="s">
        <v>1172</v>
      </c>
      <c r="T301" s="17"/>
    </row>
    <row r="302" s="1" customFormat="1" ht="124" customHeight="1" spans="1:20">
      <c r="A302" s="17">
        <f t="shared" si="38"/>
        <v>297</v>
      </c>
      <c r="B302" s="17" t="s">
        <v>58</v>
      </c>
      <c r="C302" s="19" t="s">
        <v>59</v>
      </c>
      <c r="D302" s="19" t="s">
        <v>63</v>
      </c>
      <c r="E302" s="16" t="s">
        <v>1213</v>
      </c>
      <c r="F302" s="18" t="s">
        <v>1214</v>
      </c>
      <c r="G302" s="16" t="s">
        <v>429</v>
      </c>
      <c r="H302" s="20" t="s">
        <v>430</v>
      </c>
      <c r="I302" s="16">
        <f t="shared" si="37"/>
        <v>27</v>
      </c>
      <c r="J302" s="16">
        <v>27</v>
      </c>
      <c r="K302" s="16"/>
      <c r="L302" s="16" t="s">
        <v>139</v>
      </c>
      <c r="M302" s="16">
        <v>105</v>
      </c>
      <c r="N302" s="16">
        <v>280</v>
      </c>
      <c r="O302" s="16">
        <v>2</v>
      </c>
      <c r="P302" s="20">
        <v>3</v>
      </c>
      <c r="Q302" s="18" t="s">
        <v>1215</v>
      </c>
      <c r="R302" s="17" t="s">
        <v>1172</v>
      </c>
      <c r="S302" s="17" t="s">
        <v>1172</v>
      </c>
      <c r="T302" s="17" t="s">
        <v>433</v>
      </c>
    </row>
    <row r="303" s="1" customFormat="1" ht="121" customHeight="1" spans="1:20">
      <c r="A303" s="17">
        <f t="shared" si="38"/>
        <v>298</v>
      </c>
      <c r="B303" s="17" t="s">
        <v>58</v>
      </c>
      <c r="C303" s="19" t="s">
        <v>59</v>
      </c>
      <c r="D303" s="19" t="s">
        <v>63</v>
      </c>
      <c r="E303" s="16" t="s">
        <v>1216</v>
      </c>
      <c r="F303" s="18" t="s">
        <v>1217</v>
      </c>
      <c r="G303" s="16" t="s">
        <v>137</v>
      </c>
      <c r="H303" s="20" t="s">
        <v>863</v>
      </c>
      <c r="I303" s="16">
        <f t="shared" si="37"/>
        <v>32</v>
      </c>
      <c r="J303" s="16">
        <v>32</v>
      </c>
      <c r="K303" s="16"/>
      <c r="L303" s="16" t="s">
        <v>139</v>
      </c>
      <c r="M303" s="16">
        <v>34</v>
      </c>
      <c r="N303" s="16">
        <v>58</v>
      </c>
      <c r="O303" s="16">
        <v>7</v>
      </c>
      <c r="P303" s="20">
        <v>12</v>
      </c>
      <c r="Q303" s="18" t="s">
        <v>1218</v>
      </c>
      <c r="R303" s="17" t="s">
        <v>141</v>
      </c>
      <c r="S303" s="17" t="s">
        <v>1172</v>
      </c>
      <c r="T303" s="17"/>
    </row>
    <row r="304" s="1" customFormat="1" ht="104.4" spans="1:20">
      <c r="A304" s="17">
        <f t="shared" si="38"/>
        <v>299</v>
      </c>
      <c r="B304" s="17" t="s">
        <v>58</v>
      </c>
      <c r="C304" s="19" t="s">
        <v>59</v>
      </c>
      <c r="D304" s="19" t="s">
        <v>63</v>
      </c>
      <c r="E304" s="16" t="s">
        <v>1219</v>
      </c>
      <c r="F304" s="18" t="s">
        <v>1220</v>
      </c>
      <c r="G304" s="16" t="s">
        <v>316</v>
      </c>
      <c r="H304" s="20" t="s">
        <v>337</v>
      </c>
      <c r="I304" s="16">
        <f t="shared" si="37"/>
        <v>8</v>
      </c>
      <c r="J304" s="16">
        <v>8</v>
      </c>
      <c r="K304" s="16"/>
      <c r="L304" s="16" t="s">
        <v>139</v>
      </c>
      <c r="M304" s="16">
        <v>35</v>
      </c>
      <c r="N304" s="16">
        <v>55</v>
      </c>
      <c r="O304" s="16">
        <v>2</v>
      </c>
      <c r="P304" s="20">
        <v>2</v>
      </c>
      <c r="Q304" s="18" t="s">
        <v>1221</v>
      </c>
      <c r="R304" s="17" t="s">
        <v>319</v>
      </c>
      <c r="S304" s="17" t="s">
        <v>1172</v>
      </c>
      <c r="T304" s="17" t="s">
        <v>176</v>
      </c>
    </row>
    <row r="305" s="1" customFormat="1" ht="128" customHeight="1" spans="1:20">
      <c r="A305" s="17">
        <f t="shared" si="38"/>
        <v>300</v>
      </c>
      <c r="B305" s="17" t="s">
        <v>58</v>
      </c>
      <c r="C305" s="19" t="s">
        <v>59</v>
      </c>
      <c r="D305" s="19" t="s">
        <v>63</v>
      </c>
      <c r="E305" s="16" t="s">
        <v>1222</v>
      </c>
      <c r="F305" s="18" t="s">
        <v>1223</v>
      </c>
      <c r="G305" s="16" t="s">
        <v>183</v>
      </c>
      <c r="H305" s="20" t="s">
        <v>1224</v>
      </c>
      <c r="I305" s="16">
        <f t="shared" si="37"/>
        <v>19</v>
      </c>
      <c r="J305" s="16">
        <v>19</v>
      </c>
      <c r="K305" s="16"/>
      <c r="L305" s="16" t="s">
        <v>139</v>
      </c>
      <c r="M305" s="16">
        <v>60</v>
      </c>
      <c r="N305" s="16">
        <v>152</v>
      </c>
      <c r="O305" s="16">
        <v>5</v>
      </c>
      <c r="P305" s="20">
        <v>18</v>
      </c>
      <c r="Q305" s="18" t="s">
        <v>1225</v>
      </c>
      <c r="R305" s="17" t="s">
        <v>183</v>
      </c>
      <c r="S305" s="17" t="s">
        <v>1172</v>
      </c>
      <c r="T305" s="17"/>
    </row>
    <row r="306" s="1" customFormat="1" ht="118" customHeight="1" spans="1:20">
      <c r="A306" s="17">
        <f t="shared" si="38"/>
        <v>301</v>
      </c>
      <c r="B306" s="17" t="s">
        <v>58</v>
      </c>
      <c r="C306" s="19" t="s">
        <v>59</v>
      </c>
      <c r="D306" s="19" t="s">
        <v>63</v>
      </c>
      <c r="E306" s="16" t="s">
        <v>1226</v>
      </c>
      <c r="F306" s="18" t="s">
        <v>1227</v>
      </c>
      <c r="G306" s="16" t="s">
        <v>429</v>
      </c>
      <c r="H306" s="20" t="s">
        <v>1228</v>
      </c>
      <c r="I306" s="16">
        <f t="shared" si="37"/>
        <v>32.5</v>
      </c>
      <c r="J306" s="16">
        <v>32.5</v>
      </c>
      <c r="K306" s="16"/>
      <c r="L306" s="16" t="s">
        <v>139</v>
      </c>
      <c r="M306" s="16">
        <v>40</v>
      </c>
      <c r="N306" s="16">
        <v>114</v>
      </c>
      <c r="O306" s="16">
        <v>2</v>
      </c>
      <c r="P306" s="20">
        <v>3</v>
      </c>
      <c r="Q306" s="18" t="s">
        <v>1229</v>
      </c>
      <c r="R306" s="17" t="s">
        <v>432</v>
      </c>
      <c r="S306" s="17" t="s">
        <v>1172</v>
      </c>
      <c r="T306" s="17"/>
    </row>
    <row r="307" s="1" customFormat="1" ht="115" customHeight="1" spans="1:20">
      <c r="A307" s="17">
        <f t="shared" si="38"/>
        <v>302</v>
      </c>
      <c r="B307" s="17" t="s">
        <v>58</v>
      </c>
      <c r="C307" s="19" t="s">
        <v>59</v>
      </c>
      <c r="D307" s="19" t="s">
        <v>63</v>
      </c>
      <c r="E307" s="16" t="s">
        <v>1230</v>
      </c>
      <c r="F307" s="18" t="s">
        <v>1231</v>
      </c>
      <c r="G307" s="16" t="s">
        <v>429</v>
      </c>
      <c r="H307" s="20" t="s">
        <v>430</v>
      </c>
      <c r="I307" s="16">
        <f t="shared" si="37"/>
        <v>35</v>
      </c>
      <c r="J307" s="16">
        <v>35</v>
      </c>
      <c r="K307" s="16"/>
      <c r="L307" s="16" t="s">
        <v>139</v>
      </c>
      <c r="M307" s="16">
        <v>20</v>
      </c>
      <c r="N307" s="16">
        <v>60</v>
      </c>
      <c r="O307" s="16"/>
      <c r="P307" s="20"/>
      <c r="Q307" s="18" t="s">
        <v>1232</v>
      </c>
      <c r="R307" s="17" t="s">
        <v>1172</v>
      </c>
      <c r="S307" s="17" t="s">
        <v>1172</v>
      </c>
      <c r="T307" s="17" t="s">
        <v>433</v>
      </c>
    </row>
    <row r="308" s="1" customFormat="1" ht="145" customHeight="1" spans="1:20">
      <c r="A308" s="17">
        <f t="shared" ref="A308:A317" si="39">ROW()-5</f>
        <v>303</v>
      </c>
      <c r="B308" s="32" t="s">
        <v>58</v>
      </c>
      <c r="C308" s="32" t="s">
        <v>59</v>
      </c>
      <c r="D308" s="32" t="s">
        <v>63</v>
      </c>
      <c r="E308" s="32" t="s">
        <v>1233</v>
      </c>
      <c r="F308" s="35" t="s">
        <v>1234</v>
      </c>
      <c r="G308" s="32" t="s">
        <v>168</v>
      </c>
      <c r="H308" s="32" t="s">
        <v>608</v>
      </c>
      <c r="I308" s="16">
        <f t="shared" si="37"/>
        <v>40</v>
      </c>
      <c r="J308" s="32">
        <v>40</v>
      </c>
      <c r="K308" s="32"/>
      <c r="L308" s="32" t="s">
        <v>139</v>
      </c>
      <c r="M308" s="32">
        <v>175</v>
      </c>
      <c r="N308" s="32">
        <v>441</v>
      </c>
      <c r="O308" s="32">
        <v>6</v>
      </c>
      <c r="P308" s="32">
        <v>9</v>
      </c>
      <c r="Q308" s="35" t="s">
        <v>1235</v>
      </c>
      <c r="R308" s="32" t="s">
        <v>455</v>
      </c>
      <c r="S308" s="32" t="s">
        <v>1172</v>
      </c>
      <c r="T308" s="17"/>
    </row>
    <row r="309" s="1" customFormat="1" ht="104.4" spans="1:20">
      <c r="A309" s="17">
        <f t="shared" si="39"/>
        <v>304</v>
      </c>
      <c r="B309" s="17" t="s">
        <v>58</v>
      </c>
      <c r="C309" s="19" t="s">
        <v>59</v>
      </c>
      <c r="D309" s="19" t="s">
        <v>63</v>
      </c>
      <c r="E309" s="16" t="s">
        <v>1236</v>
      </c>
      <c r="F309" s="18" t="s">
        <v>1237</v>
      </c>
      <c r="G309" s="16" t="s">
        <v>168</v>
      </c>
      <c r="H309" s="20" t="s">
        <v>1069</v>
      </c>
      <c r="I309" s="16">
        <f t="shared" si="37"/>
        <v>60</v>
      </c>
      <c r="J309" s="16">
        <v>60</v>
      </c>
      <c r="K309" s="16"/>
      <c r="L309" s="16" t="s">
        <v>139</v>
      </c>
      <c r="M309" s="16">
        <v>155</v>
      </c>
      <c r="N309" s="16">
        <v>391</v>
      </c>
      <c r="O309" s="16">
        <v>4</v>
      </c>
      <c r="P309" s="20">
        <v>4</v>
      </c>
      <c r="Q309" s="18" t="s">
        <v>1238</v>
      </c>
      <c r="R309" s="17" t="s">
        <v>455</v>
      </c>
      <c r="S309" s="17" t="s">
        <v>1172</v>
      </c>
      <c r="T309" s="17"/>
    </row>
    <row r="310" s="1" customFormat="1" ht="104.4" spans="1:20">
      <c r="A310" s="17">
        <f t="shared" si="39"/>
        <v>305</v>
      </c>
      <c r="B310" s="17" t="s">
        <v>58</v>
      </c>
      <c r="C310" s="19" t="s">
        <v>59</v>
      </c>
      <c r="D310" s="19" t="s">
        <v>63</v>
      </c>
      <c r="E310" s="16" t="s">
        <v>1239</v>
      </c>
      <c r="F310" s="18" t="s">
        <v>1240</v>
      </c>
      <c r="G310" s="16" t="s">
        <v>591</v>
      </c>
      <c r="H310" s="20" t="s">
        <v>1080</v>
      </c>
      <c r="I310" s="16">
        <f t="shared" si="37"/>
        <v>48</v>
      </c>
      <c r="J310" s="16">
        <v>48</v>
      </c>
      <c r="K310" s="16"/>
      <c r="L310" s="16" t="s">
        <v>139</v>
      </c>
      <c r="M310" s="16">
        <v>40</v>
      </c>
      <c r="N310" s="16">
        <v>120</v>
      </c>
      <c r="O310" s="16">
        <v>3</v>
      </c>
      <c r="P310" s="20">
        <v>5</v>
      </c>
      <c r="Q310" s="18" t="s">
        <v>1241</v>
      </c>
      <c r="R310" s="17" t="s">
        <v>594</v>
      </c>
      <c r="S310" s="17" t="s">
        <v>1172</v>
      </c>
      <c r="T310" s="17"/>
    </row>
    <row r="311" s="1" customFormat="1" ht="124" customHeight="1" spans="1:20">
      <c r="A311" s="17">
        <f t="shared" si="39"/>
        <v>306</v>
      </c>
      <c r="B311" s="17" t="s">
        <v>58</v>
      </c>
      <c r="C311" s="19" t="s">
        <v>59</v>
      </c>
      <c r="D311" s="19" t="s">
        <v>63</v>
      </c>
      <c r="E311" s="16" t="s">
        <v>1242</v>
      </c>
      <c r="F311" s="18" t="s">
        <v>1243</v>
      </c>
      <c r="G311" s="16" t="s">
        <v>591</v>
      </c>
      <c r="H311" s="20" t="s">
        <v>1084</v>
      </c>
      <c r="I311" s="16">
        <f t="shared" si="37"/>
        <v>25.73</v>
      </c>
      <c r="J311" s="16">
        <v>25.73</v>
      </c>
      <c r="K311" s="16"/>
      <c r="L311" s="16" t="s">
        <v>139</v>
      </c>
      <c r="M311" s="16">
        <v>34</v>
      </c>
      <c r="N311" s="16">
        <v>114</v>
      </c>
      <c r="O311" s="16">
        <v>1</v>
      </c>
      <c r="P311" s="20">
        <v>4</v>
      </c>
      <c r="Q311" s="18" t="s">
        <v>1244</v>
      </c>
      <c r="R311" s="17" t="s">
        <v>594</v>
      </c>
      <c r="S311" s="17" t="s">
        <v>1172</v>
      </c>
      <c r="T311" s="17"/>
    </row>
    <row r="312" s="1" customFormat="1" ht="121" customHeight="1" spans="1:20">
      <c r="A312" s="17">
        <f t="shared" si="39"/>
        <v>307</v>
      </c>
      <c r="B312" s="17" t="s">
        <v>58</v>
      </c>
      <c r="C312" s="19" t="s">
        <v>59</v>
      </c>
      <c r="D312" s="19" t="s">
        <v>63</v>
      </c>
      <c r="E312" s="16" t="s">
        <v>1245</v>
      </c>
      <c r="F312" s="18" t="s">
        <v>1246</v>
      </c>
      <c r="G312" s="16" t="s">
        <v>591</v>
      </c>
      <c r="H312" s="20" t="s">
        <v>731</v>
      </c>
      <c r="I312" s="16">
        <f t="shared" si="37"/>
        <v>56.43</v>
      </c>
      <c r="J312" s="16">
        <v>56.43</v>
      </c>
      <c r="K312" s="16"/>
      <c r="L312" s="16" t="s">
        <v>139</v>
      </c>
      <c r="M312" s="16">
        <v>78</v>
      </c>
      <c r="N312" s="16">
        <v>214</v>
      </c>
      <c r="O312" s="16">
        <v>3</v>
      </c>
      <c r="P312" s="20">
        <v>8</v>
      </c>
      <c r="Q312" s="18" t="s">
        <v>1247</v>
      </c>
      <c r="R312" s="17" t="s">
        <v>594</v>
      </c>
      <c r="S312" s="17" t="s">
        <v>1172</v>
      </c>
      <c r="T312" s="17" t="s">
        <v>176</v>
      </c>
    </row>
    <row r="313" s="1" customFormat="1" ht="95" customHeight="1" spans="1:20">
      <c r="A313" s="17">
        <f t="shared" si="39"/>
        <v>308</v>
      </c>
      <c r="B313" s="17" t="s">
        <v>58</v>
      </c>
      <c r="C313" s="19" t="s">
        <v>59</v>
      </c>
      <c r="D313" s="19" t="s">
        <v>63</v>
      </c>
      <c r="E313" s="16" t="s">
        <v>1248</v>
      </c>
      <c r="F313" s="18" t="s">
        <v>1249</v>
      </c>
      <c r="G313" s="16" t="s">
        <v>591</v>
      </c>
      <c r="H313" s="20" t="s">
        <v>731</v>
      </c>
      <c r="I313" s="16">
        <f t="shared" si="37"/>
        <v>21.89</v>
      </c>
      <c r="J313" s="16">
        <v>21.89</v>
      </c>
      <c r="K313" s="16"/>
      <c r="L313" s="16" t="s">
        <v>139</v>
      </c>
      <c r="M313" s="16">
        <v>45</v>
      </c>
      <c r="N313" s="16">
        <v>143</v>
      </c>
      <c r="O313" s="16">
        <v>1</v>
      </c>
      <c r="P313" s="20">
        <v>1</v>
      </c>
      <c r="Q313" s="18" t="s">
        <v>1250</v>
      </c>
      <c r="R313" s="17" t="s">
        <v>594</v>
      </c>
      <c r="S313" s="17" t="s">
        <v>1172</v>
      </c>
      <c r="T313" s="17" t="s">
        <v>176</v>
      </c>
    </row>
    <row r="314" s="1" customFormat="1" ht="100" customHeight="1" spans="1:20">
      <c r="A314" s="17">
        <f t="shared" si="39"/>
        <v>309</v>
      </c>
      <c r="B314" s="17" t="s">
        <v>58</v>
      </c>
      <c r="C314" s="19" t="s">
        <v>59</v>
      </c>
      <c r="D314" s="19" t="s">
        <v>63</v>
      </c>
      <c r="E314" s="16" t="s">
        <v>1251</v>
      </c>
      <c r="F314" s="18" t="s">
        <v>1252</v>
      </c>
      <c r="G314" s="16" t="s">
        <v>591</v>
      </c>
      <c r="H314" s="20" t="s">
        <v>743</v>
      </c>
      <c r="I314" s="16">
        <f t="shared" ref="I314:I377" si="40">J314+K314</f>
        <v>62.85</v>
      </c>
      <c r="J314" s="16">
        <v>18</v>
      </c>
      <c r="K314" s="16">
        <v>44.85</v>
      </c>
      <c r="L314" s="16" t="s">
        <v>139</v>
      </c>
      <c r="M314" s="16">
        <v>41</v>
      </c>
      <c r="N314" s="16">
        <v>119</v>
      </c>
      <c r="O314" s="16">
        <v>2</v>
      </c>
      <c r="P314" s="20">
        <v>4</v>
      </c>
      <c r="Q314" s="18" t="s">
        <v>1253</v>
      </c>
      <c r="R314" s="17" t="s">
        <v>594</v>
      </c>
      <c r="S314" s="17" t="s">
        <v>1172</v>
      </c>
      <c r="T314" s="17"/>
    </row>
    <row r="315" s="1" customFormat="1" ht="99" customHeight="1" spans="1:20">
      <c r="A315" s="17">
        <f t="shared" si="39"/>
        <v>310</v>
      </c>
      <c r="B315" s="17" t="s">
        <v>58</v>
      </c>
      <c r="C315" s="19" t="s">
        <v>59</v>
      </c>
      <c r="D315" s="19" t="s">
        <v>63</v>
      </c>
      <c r="E315" s="16" t="s">
        <v>1254</v>
      </c>
      <c r="F315" s="18" t="s">
        <v>1255</v>
      </c>
      <c r="G315" s="16" t="s">
        <v>194</v>
      </c>
      <c r="H315" s="20" t="s">
        <v>195</v>
      </c>
      <c r="I315" s="16">
        <f t="shared" si="40"/>
        <v>32</v>
      </c>
      <c r="J315" s="16">
        <v>32</v>
      </c>
      <c r="K315" s="16"/>
      <c r="L315" s="16" t="s">
        <v>139</v>
      </c>
      <c r="M315" s="16">
        <v>16</v>
      </c>
      <c r="N315" s="16">
        <v>27</v>
      </c>
      <c r="O315" s="16">
        <v>3</v>
      </c>
      <c r="P315" s="20">
        <v>4</v>
      </c>
      <c r="Q315" s="18" t="s">
        <v>1256</v>
      </c>
      <c r="R315" s="17" t="s">
        <v>194</v>
      </c>
      <c r="S315" s="17" t="s">
        <v>1172</v>
      </c>
      <c r="T315" s="17"/>
    </row>
    <row r="316" s="1" customFormat="1" ht="89" customHeight="1" spans="1:20">
      <c r="A316" s="17">
        <f t="shared" si="39"/>
        <v>311</v>
      </c>
      <c r="B316" s="17" t="s">
        <v>58</v>
      </c>
      <c r="C316" s="19" t="s">
        <v>59</v>
      </c>
      <c r="D316" s="19" t="s">
        <v>63</v>
      </c>
      <c r="E316" s="16" t="s">
        <v>1257</v>
      </c>
      <c r="F316" s="18" t="s">
        <v>1258</v>
      </c>
      <c r="G316" s="16" t="s">
        <v>173</v>
      </c>
      <c r="H316" s="20" t="s">
        <v>203</v>
      </c>
      <c r="I316" s="16">
        <f t="shared" si="40"/>
        <v>51</v>
      </c>
      <c r="J316" s="16">
        <v>51</v>
      </c>
      <c r="K316" s="16"/>
      <c r="L316" s="16" t="s">
        <v>139</v>
      </c>
      <c r="M316" s="16">
        <v>200</v>
      </c>
      <c r="N316" s="16">
        <v>556</v>
      </c>
      <c r="O316" s="16">
        <v>8</v>
      </c>
      <c r="P316" s="20">
        <v>15</v>
      </c>
      <c r="Q316" s="18" t="s">
        <v>1259</v>
      </c>
      <c r="R316" s="17" t="s">
        <v>1172</v>
      </c>
      <c r="S316" s="17" t="s">
        <v>1172</v>
      </c>
      <c r="T316" s="17"/>
    </row>
    <row r="317" s="1" customFormat="1" ht="94" customHeight="1" spans="1:20">
      <c r="A317" s="17">
        <f t="shared" si="39"/>
        <v>312</v>
      </c>
      <c r="B317" s="17" t="s">
        <v>58</v>
      </c>
      <c r="C317" s="19" t="s">
        <v>59</v>
      </c>
      <c r="D317" s="19" t="s">
        <v>63</v>
      </c>
      <c r="E317" s="16" t="s">
        <v>1260</v>
      </c>
      <c r="F317" s="18" t="s">
        <v>1261</v>
      </c>
      <c r="G317" s="16" t="s">
        <v>173</v>
      </c>
      <c r="H317" s="20" t="s">
        <v>1164</v>
      </c>
      <c r="I317" s="16">
        <f t="shared" si="40"/>
        <v>30</v>
      </c>
      <c r="J317" s="16">
        <v>30</v>
      </c>
      <c r="K317" s="16"/>
      <c r="L317" s="16" t="s">
        <v>139</v>
      </c>
      <c r="M317" s="16">
        <v>61</v>
      </c>
      <c r="N317" s="16">
        <v>178</v>
      </c>
      <c r="O317" s="16">
        <v>5</v>
      </c>
      <c r="P317" s="20">
        <v>12</v>
      </c>
      <c r="Q317" s="18" t="s">
        <v>1262</v>
      </c>
      <c r="R317" s="17" t="s">
        <v>173</v>
      </c>
      <c r="S317" s="17" t="s">
        <v>1172</v>
      </c>
      <c r="T317" s="17"/>
    </row>
    <row r="318" s="1" customFormat="1" ht="125" customHeight="1" spans="1:20">
      <c r="A318" s="17">
        <f t="shared" ref="A318:A327" si="41">ROW()-5</f>
        <v>313</v>
      </c>
      <c r="B318" s="17" t="s">
        <v>58</v>
      </c>
      <c r="C318" s="19" t="s">
        <v>59</v>
      </c>
      <c r="D318" s="19" t="s">
        <v>63</v>
      </c>
      <c r="E318" s="16" t="s">
        <v>1263</v>
      </c>
      <c r="F318" s="18" t="s">
        <v>1264</v>
      </c>
      <c r="G318" s="16" t="s">
        <v>173</v>
      </c>
      <c r="H318" s="20" t="s">
        <v>1164</v>
      </c>
      <c r="I318" s="16">
        <f t="shared" si="40"/>
        <v>60</v>
      </c>
      <c r="J318" s="16">
        <v>60</v>
      </c>
      <c r="K318" s="16"/>
      <c r="L318" s="16" t="s">
        <v>139</v>
      </c>
      <c r="M318" s="16">
        <v>68</v>
      </c>
      <c r="N318" s="16">
        <v>210</v>
      </c>
      <c r="O318" s="16">
        <v>4</v>
      </c>
      <c r="P318" s="20">
        <v>7</v>
      </c>
      <c r="Q318" s="18" t="s">
        <v>1265</v>
      </c>
      <c r="R318" s="17" t="s">
        <v>173</v>
      </c>
      <c r="S318" s="17" t="s">
        <v>1172</v>
      </c>
      <c r="T318" s="17"/>
    </row>
    <row r="319" s="1" customFormat="1" ht="117" customHeight="1" spans="1:20">
      <c r="A319" s="17">
        <f t="shared" si="41"/>
        <v>314</v>
      </c>
      <c r="B319" s="17" t="s">
        <v>58</v>
      </c>
      <c r="C319" s="19" t="s">
        <v>59</v>
      </c>
      <c r="D319" s="19" t="s">
        <v>63</v>
      </c>
      <c r="E319" s="16" t="s">
        <v>1266</v>
      </c>
      <c r="F319" s="18" t="s">
        <v>1267</v>
      </c>
      <c r="G319" s="16" t="s">
        <v>207</v>
      </c>
      <c r="H319" s="20" t="s">
        <v>683</v>
      </c>
      <c r="I319" s="16">
        <f t="shared" si="40"/>
        <v>31.4</v>
      </c>
      <c r="J319" s="16">
        <v>31.4</v>
      </c>
      <c r="K319" s="16"/>
      <c r="L319" s="16" t="s">
        <v>139</v>
      </c>
      <c r="M319" s="16">
        <v>122</v>
      </c>
      <c r="N319" s="16">
        <v>322</v>
      </c>
      <c r="O319" s="16">
        <v>3</v>
      </c>
      <c r="P319" s="20">
        <v>4</v>
      </c>
      <c r="Q319" s="18" t="s">
        <v>1268</v>
      </c>
      <c r="R319" s="17" t="s">
        <v>210</v>
      </c>
      <c r="S319" s="17" t="s">
        <v>1172</v>
      </c>
      <c r="T319" s="17" t="s">
        <v>176</v>
      </c>
    </row>
    <row r="320" s="1" customFormat="1" ht="132" customHeight="1" spans="1:20">
      <c r="A320" s="17">
        <f t="shared" si="41"/>
        <v>315</v>
      </c>
      <c r="B320" s="17" t="s">
        <v>58</v>
      </c>
      <c r="C320" s="19" t="s">
        <v>59</v>
      </c>
      <c r="D320" s="19" t="s">
        <v>63</v>
      </c>
      <c r="E320" s="16" t="s">
        <v>1269</v>
      </c>
      <c r="F320" s="18" t="s">
        <v>1270</v>
      </c>
      <c r="G320" s="16" t="s">
        <v>213</v>
      </c>
      <c r="H320" s="20" t="s">
        <v>468</v>
      </c>
      <c r="I320" s="16">
        <f t="shared" si="40"/>
        <v>38</v>
      </c>
      <c r="J320" s="16">
        <v>38</v>
      </c>
      <c r="K320" s="16"/>
      <c r="L320" s="16" t="s">
        <v>139</v>
      </c>
      <c r="M320" s="16">
        <v>33</v>
      </c>
      <c r="N320" s="16">
        <v>80</v>
      </c>
      <c r="O320" s="16">
        <v>3</v>
      </c>
      <c r="P320" s="20">
        <v>8</v>
      </c>
      <c r="Q320" s="18" t="s">
        <v>1271</v>
      </c>
      <c r="R320" s="17" t="s">
        <v>216</v>
      </c>
      <c r="S320" s="17" t="s">
        <v>1172</v>
      </c>
      <c r="T320" s="17" t="s">
        <v>176</v>
      </c>
    </row>
    <row r="321" s="1" customFormat="1" ht="121" customHeight="1" spans="1:20">
      <c r="A321" s="17">
        <f t="shared" si="41"/>
        <v>316</v>
      </c>
      <c r="B321" s="17" t="s">
        <v>58</v>
      </c>
      <c r="C321" s="19" t="s">
        <v>59</v>
      </c>
      <c r="D321" s="19" t="s">
        <v>63</v>
      </c>
      <c r="E321" s="16" t="s">
        <v>1272</v>
      </c>
      <c r="F321" s="18" t="s">
        <v>1273</v>
      </c>
      <c r="G321" s="16" t="s">
        <v>213</v>
      </c>
      <c r="H321" s="20" t="s">
        <v>472</v>
      </c>
      <c r="I321" s="16">
        <f t="shared" si="40"/>
        <v>15</v>
      </c>
      <c r="J321" s="16">
        <v>15</v>
      </c>
      <c r="K321" s="16"/>
      <c r="L321" s="16" t="s">
        <v>139</v>
      </c>
      <c r="M321" s="16">
        <v>54</v>
      </c>
      <c r="N321" s="16">
        <v>129</v>
      </c>
      <c r="O321" s="16">
        <v>8</v>
      </c>
      <c r="P321" s="20">
        <v>12</v>
      </c>
      <c r="Q321" s="18" t="s">
        <v>1274</v>
      </c>
      <c r="R321" s="17" t="s">
        <v>216</v>
      </c>
      <c r="S321" s="17" t="s">
        <v>1172</v>
      </c>
      <c r="T321" s="17"/>
    </row>
    <row r="322" s="1" customFormat="1" ht="104.4" spans="1:20">
      <c r="A322" s="17">
        <f t="shared" si="41"/>
        <v>317</v>
      </c>
      <c r="B322" s="17" t="s">
        <v>58</v>
      </c>
      <c r="C322" s="19" t="s">
        <v>59</v>
      </c>
      <c r="D322" s="19" t="s">
        <v>63</v>
      </c>
      <c r="E322" s="16" t="s">
        <v>1275</v>
      </c>
      <c r="F322" s="18" t="s">
        <v>1276</v>
      </c>
      <c r="G322" s="16" t="s">
        <v>213</v>
      </c>
      <c r="H322" s="20" t="s">
        <v>1195</v>
      </c>
      <c r="I322" s="16">
        <f t="shared" si="40"/>
        <v>8</v>
      </c>
      <c r="J322" s="16">
        <v>8</v>
      </c>
      <c r="K322" s="16"/>
      <c r="L322" s="16" t="s">
        <v>139</v>
      </c>
      <c r="M322" s="16">
        <v>96</v>
      </c>
      <c r="N322" s="16">
        <v>237</v>
      </c>
      <c r="O322" s="16">
        <v>2</v>
      </c>
      <c r="P322" s="20">
        <v>3</v>
      </c>
      <c r="Q322" s="18" t="s">
        <v>1277</v>
      </c>
      <c r="R322" s="17" t="s">
        <v>216</v>
      </c>
      <c r="S322" s="17" t="s">
        <v>1172</v>
      </c>
      <c r="T322" s="17"/>
    </row>
    <row r="323" s="1" customFormat="1" ht="122" customHeight="1" spans="1:20">
      <c r="A323" s="17">
        <f t="shared" si="41"/>
        <v>318</v>
      </c>
      <c r="B323" s="17" t="s">
        <v>58</v>
      </c>
      <c r="C323" s="19" t="s">
        <v>59</v>
      </c>
      <c r="D323" s="19" t="s">
        <v>63</v>
      </c>
      <c r="E323" s="16" t="s">
        <v>1278</v>
      </c>
      <c r="F323" s="18" t="s">
        <v>1279</v>
      </c>
      <c r="G323" s="16" t="s">
        <v>232</v>
      </c>
      <c r="H323" s="20" t="s">
        <v>999</v>
      </c>
      <c r="I323" s="16">
        <f t="shared" si="40"/>
        <v>58.6</v>
      </c>
      <c r="J323" s="16">
        <v>58.6</v>
      </c>
      <c r="K323" s="16"/>
      <c r="L323" s="16" t="s">
        <v>139</v>
      </c>
      <c r="M323" s="16">
        <v>69</v>
      </c>
      <c r="N323" s="16">
        <v>169</v>
      </c>
      <c r="O323" s="16">
        <v>5</v>
      </c>
      <c r="P323" s="20">
        <v>11</v>
      </c>
      <c r="Q323" s="18" t="s">
        <v>1280</v>
      </c>
      <c r="R323" s="17" t="s">
        <v>240</v>
      </c>
      <c r="S323" s="17" t="s">
        <v>1172</v>
      </c>
      <c r="T323" s="17"/>
    </row>
    <row r="324" s="1" customFormat="1" ht="117" customHeight="1" spans="1:20">
      <c r="A324" s="17">
        <f t="shared" si="41"/>
        <v>319</v>
      </c>
      <c r="B324" s="17" t="s">
        <v>58</v>
      </c>
      <c r="C324" s="19" t="s">
        <v>59</v>
      </c>
      <c r="D324" s="19" t="s">
        <v>63</v>
      </c>
      <c r="E324" s="16" t="s">
        <v>1281</v>
      </c>
      <c r="F324" s="18" t="s">
        <v>1282</v>
      </c>
      <c r="G324" s="16" t="s">
        <v>232</v>
      </c>
      <c r="H324" s="20" t="s">
        <v>780</v>
      </c>
      <c r="I324" s="16">
        <f t="shared" si="40"/>
        <v>22.5</v>
      </c>
      <c r="J324" s="16">
        <v>22.5</v>
      </c>
      <c r="K324" s="16"/>
      <c r="L324" s="16" t="s">
        <v>139</v>
      </c>
      <c r="M324" s="16">
        <v>48</v>
      </c>
      <c r="N324" s="16">
        <v>118</v>
      </c>
      <c r="O324" s="16">
        <v>6</v>
      </c>
      <c r="P324" s="20">
        <v>8</v>
      </c>
      <c r="Q324" s="18" t="s">
        <v>1283</v>
      </c>
      <c r="R324" s="17" t="s">
        <v>240</v>
      </c>
      <c r="S324" s="17" t="s">
        <v>1172</v>
      </c>
      <c r="T324" s="17"/>
    </row>
    <row r="325" s="1" customFormat="1" ht="119" customHeight="1" spans="1:20">
      <c r="A325" s="17">
        <f t="shared" si="41"/>
        <v>320</v>
      </c>
      <c r="B325" s="17" t="s">
        <v>58</v>
      </c>
      <c r="C325" s="19" t="s">
        <v>59</v>
      </c>
      <c r="D325" s="19" t="s">
        <v>63</v>
      </c>
      <c r="E325" s="16" t="s">
        <v>1284</v>
      </c>
      <c r="F325" s="18" t="s">
        <v>1285</v>
      </c>
      <c r="G325" s="16" t="s">
        <v>232</v>
      </c>
      <c r="H325" s="20" t="s">
        <v>1286</v>
      </c>
      <c r="I325" s="16">
        <f t="shared" si="40"/>
        <v>18</v>
      </c>
      <c r="J325" s="16">
        <v>18</v>
      </c>
      <c r="K325" s="16"/>
      <c r="L325" s="16" t="s">
        <v>139</v>
      </c>
      <c r="M325" s="16">
        <v>67</v>
      </c>
      <c r="N325" s="16">
        <v>128</v>
      </c>
      <c r="O325" s="16">
        <v>16</v>
      </c>
      <c r="P325" s="20">
        <v>21</v>
      </c>
      <c r="Q325" s="18" t="s">
        <v>1287</v>
      </c>
      <c r="R325" s="17" t="s">
        <v>240</v>
      </c>
      <c r="S325" s="17" t="s">
        <v>1172</v>
      </c>
      <c r="T325" s="17"/>
    </row>
    <row r="326" s="1" customFormat="1" ht="156" customHeight="1" spans="1:20">
      <c r="A326" s="17">
        <f t="shared" si="41"/>
        <v>321</v>
      </c>
      <c r="B326" s="17" t="s">
        <v>58</v>
      </c>
      <c r="C326" s="19" t="s">
        <v>59</v>
      </c>
      <c r="D326" s="19" t="s">
        <v>63</v>
      </c>
      <c r="E326" s="16" t="s">
        <v>1288</v>
      </c>
      <c r="F326" s="18" t="s">
        <v>1289</v>
      </c>
      <c r="G326" s="16" t="s">
        <v>247</v>
      </c>
      <c r="H326" s="20" t="s">
        <v>253</v>
      </c>
      <c r="I326" s="16">
        <f t="shared" si="40"/>
        <v>65</v>
      </c>
      <c r="J326" s="16">
        <v>65</v>
      </c>
      <c r="K326" s="16"/>
      <c r="L326" s="16" t="s">
        <v>139</v>
      </c>
      <c r="M326" s="16">
        <v>80</v>
      </c>
      <c r="N326" s="16">
        <v>261</v>
      </c>
      <c r="O326" s="16">
        <v>1</v>
      </c>
      <c r="P326" s="20">
        <v>3</v>
      </c>
      <c r="Q326" s="18" t="s">
        <v>1290</v>
      </c>
      <c r="R326" s="17" t="s">
        <v>250</v>
      </c>
      <c r="S326" s="17" t="s">
        <v>1172</v>
      </c>
      <c r="T326" s="17"/>
    </row>
    <row r="327" s="1" customFormat="1" ht="114" customHeight="1" spans="1:20">
      <c r="A327" s="17">
        <f t="shared" si="41"/>
        <v>322</v>
      </c>
      <c r="B327" s="17" t="s">
        <v>58</v>
      </c>
      <c r="C327" s="19" t="s">
        <v>59</v>
      </c>
      <c r="D327" s="19" t="s">
        <v>63</v>
      </c>
      <c r="E327" s="16" t="s">
        <v>1291</v>
      </c>
      <c r="F327" s="18" t="s">
        <v>1292</v>
      </c>
      <c r="G327" s="16" t="s">
        <v>247</v>
      </c>
      <c r="H327" s="20" t="s">
        <v>1293</v>
      </c>
      <c r="I327" s="16">
        <f t="shared" si="40"/>
        <v>25</v>
      </c>
      <c r="J327" s="16">
        <v>25</v>
      </c>
      <c r="K327" s="16"/>
      <c r="L327" s="16" t="s">
        <v>139</v>
      </c>
      <c r="M327" s="16">
        <v>115</v>
      </c>
      <c r="N327" s="16">
        <v>267</v>
      </c>
      <c r="O327" s="16">
        <v>3</v>
      </c>
      <c r="P327" s="20">
        <v>5</v>
      </c>
      <c r="Q327" s="18" t="s">
        <v>1294</v>
      </c>
      <c r="R327" s="17" t="s">
        <v>250</v>
      </c>
      <c r="S327" s="17" t="s">
        <v>1172</v>
      </c>
      <c r="T327" s="17"/>
    </row>
    <row r="328" s="1" customFormat="1" ht="104.4" spans="1:20">
      <c r="A328" s="17">
        <f t="shared" ref="A328:A337" si="42">ROW()-5</f>
        <v>323</v>
      </c>
      <c r="B328" s="17" t="s">
        <v>58</v>
      </c>
      <c r="C328" s="19" t="s">
        <v>59</v>
      </c>
      <c r="D328" s="19" t="s">
        <v>63</v>
      </c>
      <c r="E328" s="16" t="s">
        <v>1295</v>
      </c>
      <c r="F328" s="18" t="s">
        <v>1296</v>
      </c>
      <c r="G328" s="16" t="s">
        <v>257</v>
      </c>
      <c r="H328" s="20" t="s">
        <v>266</v>
      </c>
      <c r="I328" s="16">
        <f t="shared" si="40"/>
        <v>60</v>
      </c>
      <c r="J328" s="16">
        <v>60</v>
      </c>
      <c r="K328" s="16"/>
      <c r="L328" s="16" t="s">
        <v>139</v>
      </c>
      <c r="M328" s="16">
        <v>52</v>
      </c>
      <c r="N328" s="16">
        <v>149</v>
      </c>
      <c r="O328" s="16">
        <v>4</v>
      </c>
      <c r="P328" s="20">
        <v>7</v>
      </c>
      <c r="Q328" s="18" t="s">
        <v>1297</v>
      </c>
      <c r="R328" s="17" t="s">
        <v>260</v>
      </c>
      <c r="S328" s="17" t="s">
        <v>1172</v>
      </c>
      <c r="T328" s="17"/>
    </row>
    <row r="329" s="1" customFormat="1" ht="104.4" spans="1:20">
      <c r="A329" s="17">
        <f t="shared" si="42"/>
        <v>324</v>
      </c>
      <c r="B329" s="17" t="s">
        <v>58</v>
      </c>
      <c r="C329" s="19" t="s">
        <v>59</v>
      </c>
      <c r="D329" s="19" t="s">
        <v>63</v>
      </c>
      <c r="E329" s="16" t="s">
        <v>1298</v>
      </c>
      <c r="F329" s="18" t="s">
        <v>1299</v>
      </c>
      <c r="G329" s="16" t="s">
        <v>257</v>
      </c>
      <c r="H329" s="20" t="s">
        <v>266</v>
      </c>
      <c r="I329" s="16">
        <f t="shared" si="40"/>
        <v>25</v>
      </c>
      <c r="J329" s="16">
        <v>25</v>
      </c>
      <c r="K329" s="16"/>
      <c r="L329" s="16" t="s">
        <v>139</v>
      </c>
      <c r="M329" s="16">
        <v>43</v>
      </c>
      <c r="N329" s="16">
        <v>138</v>
      </c>
      <c r="O329" s="16">
        <v>0</v>
      </c>
      <c r="P329" s="20">
        <v>0</v>
      </c>
      <c r="Q329" s="18" t="s">
        <v>1300</v>
      </c>
      <c r="R329" s="17" t="s">
        <v>260</v>
      </c>
      <c r="S329" s="17" t="s">
        <v>1172</v>
      </c>
      <c r="T329" s="17"/>
    </row>
    <row r="330" s="1" customFormat="1" ht="104.4" spans="1:20">
      <c r="A330" s="17">
        <f t="shared" si="42"/>
        <v>325</v>
      </c>
      <c r="B330" s="17" t="s">
        <v>58</v>
      </c>
      <c r="C330" s="19" t="s">
        <v>59</v>
      </c>
      <c r="D330" s="19" t="s">
        <v>63</v>
      </c>
      <c r="E330" s="16" t="s">
        <v>1301</v>
      </c>
      <c r="F330" s="18" t="s">
        <v>1302</v>
      </c>
      <c r="G330" s="16" t="s">
        <v>571</v>
      </c>
      <c r="H330" s="20" t="s">
        <v>1303</v>
      </c>
      <c r="I330" s="16">
        <f t="shared" si="40"/>
        <v>30</v>
      </c>
      <c r="J330" s="16">
        <v>30</v>
      </c>
      <c r="K330" s="16"/>
      <c r="L330" s="16" t="s">
        <v>139</v>
      </c>
      <c r="M330" s="16">
        <v>19</v>
      </c>
      <c r="N330" s="16">
        <v>56</v>
      </c>
      <c r="O330" s="16">
        <v>1</v>
      </c>
      <c r="P330" s="20">
        <v>1</v>
      </c>
      <c r="Q330" s="18" t="s">
        <v>1304</v>
      </c>
      <c r="R330" s="17" t="s">
        <v>1172</v>
      </c>
      <c r="S330" s="17" t="s">
        <v>1172</v>
      </c>
      <c r="T330" s="17"/>
    </row>
    <row r="331" s="1" customFormat="1" ht="99" customHeight="1" spans="1:20">
      <c r="A331" s="17">
        <f t="shared" si="42"/>
        <v>326</v>
      </c>
      <c r="B331" s="17" t="s">
        <v>58</v>
      </c>
      <c r="C331" s="19" t="s">
        <v>59</v>
      </c>
      <c r="D331" s="19" t="s">
        <v>63</v>
      </c>
      <c r="E331" s="16" t="s">
        <v>1305</v>
      </c>
      <c r="F331" s="18" t="s">
        <v>1306</v>
      </c>
      <c r="G331" s="16" t="s">
        <v>571</v>
      </c>
      <c r="H331" s="20" t="s">
        <v>1307</v>
      </c>
      <c r="I331" s="16">
        <f t="shared" si="40"/>
        <v>40</v>
      </c>
      <c r="J331" s="16">
        <v>40</v>
      </c>
      <c r="K331" s="16"/>
      <c r="L331" s="16" t="s">
        <v>139</v>
      </c>
      <c r="M331" s="16">
        <v>31</v>
      </c>
      <c r="N331" s="16">
        <v>98</v>
      </c>
      <c r="O331" s="16">
        <v>2</v>
      </c>
      <c r="P331" s="20">
        <v>4</v>
      </c>
      <c r="Q331" s="18" t="s">
        <v>1308</v>
      </c>
      <c r="R331" s="17" t="s">
        <v>574</v>
      </c>
      <c r="S331" s="17" t="s">
        <v>1172</v>
      </c>
      <c r="T331" s="17"/>
    </row>
    <row r="332" s="1" customFormat="1" ht="117" customHeight="1" spans="1:20">
      <c r="A332" s="17">
        <f t="shared" si="42"/>
        <v>327</v>
      </c>
      <c r="B332" s="17" t="s">
        <v>58</v>
      </c>
      <c r="C332" s="19" t="s">
        <v>59</v>
      </c>
      <c r="D332" s="19" t="s">
        <v>63</v>
      </c>
      <c r="E332" s="16" t="s">
        <v>1309</v>
      </c>
      <c r="F332" s="18" t="s">
        <v>1310</v>
      </c>
      <c r="G332" s="16" t="s">
        <v>311</v>
      </c>
      <c r="H332" s="20" t="s">
        <v>1311</v>
      </c>
      <c r="I332" s="16">
        <f t="shared" si="40"/>
        <v>46</v>
      </c>
      <c r="J332" s="16">
        <v>46</v>
      </c>
      <c r="K332" s="16"/>
      <c r="L332" s="16" t="s">
        <v>139</v>
      </c>
      <c r="M332" s="16">
        <v>251</v>
      </c>
      <c r="N332" s="16">
        <v>667</v>
      </c>
      <c r="O332" s="16">
        <v>11</v>
      </c>
      <c r="P332" s="20">
        <v>22</v>
      </c>
      <c r="Q332" s="18" t="s">
        <v>1312</v>
      </c>
      <c r="R332" s="17" t="s">
        <v>1172</v>
      </c>
      <c r="S332" s="17" t="s">
        <v>1172</v>
      </c>
      <c r="T332" s="17"/>
    </row>
    <row r="333" s="1" customFormat="1" ht="120" customHeight="1" spans="1:20">
      <c r="A333" s="17">
        <f t="shared" si="42"/>
        <v>328</v>
      </c>
      <c r="B333" s="17" t="s">
        <v>58</v>
      </c>
      <c r="C333" s="19" t="s">
        <v>59</v>
      </c>
      <c r="D333" s="19" t="s">
        <v>63</v>
      </c>
      <c r="E333" s="16" t="s">
        <v>1313</v>
      </c>
      <c r="F333" s="18" t="s">
        <v>1314</v>
      </c>
      <c r="G333" s="16" t="s">
        <v>311</v>
      </c>
      <c r="H333" s="20" t="s">
        <v>1315</v>
      </c>
      <c r="I333" s="16">
        <f t="shared" si="40"/>
        <v>35</v>
      </c>
      <c r="J333" s="16">
        <v>35</v>
      </c>
      <c r="K333" s="16"/>
      <c r="L333" s="16" t="s">
        <v>139</v>
      </c>
      <c r="M333" s="16">
        <v>205</v>
      </c>
      <c r="N333" s="16">
        <v>760</v>
      </c>
      <c r="O333" s="16">
        <v>16</v>
      </c>
      <c r="P333" s="20">
        <v>33</v>
      </c>
      <c r="Q333" s="18" t="s">
        <v>1316</v>
      </c>
      <c r="R333" s="17" t="s">
        <v>1172</v>
      </c>
      <c r="S333" s="17" t="s">
        <v>1172</v>
      </c>
      <c r="T333" s="17"/>
    </row>
    <row r="334" s="1" customFormat="1" ht="134" customHeight="1" spans="1:20">
      <c r="A334" s="17">
        <f t="shared" si="42"/>
        <v>329</v>
      </c>
      <c r="B334" s="17" t="s">
        <v>58</v>
      </c>
      <c r="C334" s="19" t="s">
        <v>59</v>
      </c>
      <c r="D334" s="19" t="s">
        <v>63</v>
      </c>
      <c r="E334" s="16" t="s">
        <v>1317</v>
      </c>
      <c r="F334" s="18" t="s">
        <v>1318</v>
      </c>
      <c r="G334" s="16" t="s">
        <v>311</v>
      </c>
      <c r="H334" s="20" t="s">
        <v>723</v>
      </c>
      <c r="I334" s="16">
        <f t="shared" si="40"/>
        <v>43</v>
      </c>
      <c r="J334" s="16">
        <v>43</v>
      </c>
      <c r="K334" s="16"/>
      <c r="L334" s="16" t="s">
        <v>139</v>
      </c>
      <c r="M334" s="16">
        <v>165</v>
      </c>
      <c r="N334" s="16">
        <v>346</v>
      </c>
      <c r="O334" s="16">
        <v>9</v>
      </c>
      <c r="P334" s="20">
        <v>16</v>
      </c>
      <c r="Q334" s="18" t="s">
        <v>1319</v>
      </c>
      <c r="R334" s="17" t="s">
        <v>1172</v>
      </c>
      <c r="S334" s="17" t="s">
        <v>1172</v>
      </c>
      <c r="T334" s="17"/>
    </row>
    <row r="335" s="1" customFormat="1" ht="124" customHeight="1" spans="1:20">
      <c r="A335" s="17">
        <f t="shared" si="42"/>
        <v>330</v>
      </c>
      <c r="B335" s="17" t="s">
        <v>58</v>
      </c>
      <c r="C335" s="19" t="s">
        <v>59</v>
      </c>
      <c r="D335" s="19" t="s">
        <v>63</v>
      </c>
      <c r="E335" s="16" t="s">
        <v>1320</v>
      </c>
      <c r="F335" s="18" t="s">
        <v>1321</v>
      </c>
      <c r="G335" s="16" t="s">
        <v>362</v>
      </c>
      <c r="H335" s="20" t="s">
        <v>1322</v>
      </c>
      <c r="I335" s="16">
        <f t="shared" si="40"/>
        <v>37</v>
      </c>
      <c r="J335" s="16">
        <v>37</v>
      </c>
      <c r="K335" s="16"/>
      <c r="L335" s="16" t="s">
        <v>139</v>
      </c>
      <c r="M335" s="16">
        <v>85</v>
      </c>
      <c r="N335" s="16">
        <v>251</v>
      </c>
      <c r="O335" s="16">
        <v>10</v>
      </c>
      <c r="P335" s="20">
        <v>21</v>
      </c>
      <c r="Q335" s="18" t="s">
        <v>1323</v>
      </c>
      <c r="R335" s="17" t="s">
        <v>365</v>
      </c>
      <c r="S335" s="17" t="s">
        <v>1172</v>
      </c>
      <c r="T335" s="17"/>
    </row>
    <row r="336" s="1" customFormat="1" ht="147" customHeight="1" spans="1:20">
      <c r="A336" s="17">
        <f t="shared" si="42"/>
        <v>331</v>
      </c>
      <c r="B336" s="17" t="s">
        <v>58</v>
      </c>
      <c r="C336" s="19" t="s">
        <v>59</v>
      </c>
      <c r="D336" s="19" t="s">
        <v>63</v>
      </c>
      <c r="E336" s="16" t="s">
        <v>1324</v>
      </c>
      <c r="F336" s="18" t="s">
        <v>1325</v>
      </c>
      <c r="G336" s="16" t="s">
        <v>362</v>
      </c>
      <c r="H336" s="20" t="s">
        <v>1326</v>
      </c>
      <c r="I336" s="16">
        <f t="shared" si="40"/>
        <v>60</v>
      </c>
      <c r="J336" s="16">
        <v>60</v>
      </c>
      <c r="K336" s="16"/>
      <c r="L336" s="16" t="s">
        <v>139</v>
      </c>
      <c r="M336" s="16">
        <v>312</v>
      </c>
      <c r="N336" s="16">
        <v>1011</v>
      </c>
      <c r="O336" s="16">
        <v>8</v>
      </c>
      <c r="P336" s="20">
        <v>9</v>
      </c>
      <c r="Q336" s="18" t="s">
        <v>1327</v>
      </c>
      <c r="R336" s="17" t="s">
        <v>365</v>
      </c>
      <c r="S336" s="17" t="s">
        <v>1172</v>
      </c>
      <c r="T336" s="17"/>
    </row>
    <row r="337" s="1" customFormat="1" ht="125" customHeight="1" spans="1:20">
      <c r="A337" s="17">
        <f t="shared" si="42"/>
        <v>332</v>
      </c>
      <c r="B337" s="17" t="s">
        <v>58</v>
      </c>
      <c r="C337" s="19" t="s">
        <v>59</v>
      </c>
      <c r="D337" s="19" t="s">
        <v>63</v>
      </c>
      <c r="E337" s="16" t="s">
        <v>1328</v>
      </c>
      <c r="F337" s="18" t="s">
        <v>1329</v>
      </c>
      <c r="G337" s="16" t="s">
        <v>362</v>
      </c>
      <c r="H337" s="20" t="s">
        <v>597</v>
      </c>
      <c r="I337" s="16">
        <f t="shared" si="40"/>
        <v>50</v>
      </c>
      <c r="J337" s="16"/>
      <c r="K337" s="16">
        <v>50</v>
      </c>
      <c r="L337" s="16" t="s">
        <v>139</v>
      </c>
      <c r="M337" s="16">
        <v>342</v>
      </c>
      <c r="N337" s="16">
        <v>969</v>
      </c>
      <c r="O337" s="16">
        <v>13</v>
      </c>
      <c r="P337" s="20">
        <v>22</v>
      </c>
      <c r="Q337" s="18" t="s">
        <v>1330</v>
      </c>
      <c r="R337" s="17" t="s">
        <v>365</v>
      </c>
      <c r="S337" s="17" t="s">
        <v>1172</v>
      </c>
      <c r="T337" s="17" t="s">
        <v>176</v>
      </c>
    </row>
    <row r="338" ht="122" customHeight="1" spans="1:20">
      <c r="A338" s="17">
        <f t="shared" ref="A338:A347" si="43">ROW()-5</f>
        <v>333</v>
      </c>
      <c r="B338" s="17" t="s">
        <v>58</v>
      </c>
      <c r="C338" s="19" t="s">
        <v>59</v>
      </c>
      <c r="D338" s="19" t="s">
        <v>63</v>
      </c>
      <c r="E338" s="17" t="s">
        <v>1331</v>
      </c>
      <c r="F338" s="21" t="s">
        <v>1332</v>
      </c>
      <c r="G338" s="17" t="s">
        <v>362</v>
      </c>
      <c r="H338" s="17" t="s">
        <v>767</v>
      </c>
      <c r="I338" s="16">
        <f t="shared" si="40"/>
        <v>9</v>
      </c>
      <c r="J338" s="17">
        <v>9</v>
      </c>
      <c r="K338" s="17"/>
      <c r="L338" s="17" t="s">
        <v>139</v>
      </c>
      <c r="M338" s="17">
        <v>45</v>
      </c>
      <c r="N338" s="17">
        <v>128</v>
      </c>
      <c r="O338" s="17">
        <v>0</v>
      </c>
      <c r="P338" s="17">
        <v>0</v>
      </c>
      <c r="Q338" s="21" t="s">
        <v>1333</v>
      </c>
      <c r="R338" s="17" t="s">
        <v>365</v>
      </c>
      <c r="S338" s="17" t="s">
        <v>1172</v>
      </c>
      <c r="T338" s="17"/>
    </row>
    <row r="339" ht="126" customHeight="1" spans="1:20">
      <c r="A339" s="17">
        <f t="shared" si="43"/>
        <v>334</v>
      </c>
      <c r="B339" s="32" t="s">
        <v>58</v>
      </c>
      <c r="C339" s="32" t="s">
        <v>59</v>
      </c>
      <c r="D339" s="32" t="s">
        <v>63</v>
      </c>
      <c r="E339" s="32" t="s">
        <v>1334</v>
      </c>
      <c r="F339" s="35" t="s">
        <v>1335</v>
      </c>
      <c r="G339" s="32" t="s">
        <v>168</v>
      </c>
      <c r="H339" s="32" t="s">
        <v>1051</v>
      </c>
      <c r="I339" s="16">
        <f t="shared" si="40"/>
        <v>30</v>
      </c>
      <c r="J339" s="32">
        <v>30</v>
      </c>
      <c r="K339" s="32"/>
      <c r="L339" s="32" t="s">
        <v>139</v>
      </c>
      <c r="M339" s="32">
        <v>159</v>
      </c>
      <c r="N339" s="32">
        <v>408</v>
      </c>
      <c r="O339" s="32">
        <v>7</v>
      </c>
      <c r="P339" s="32">
        <v>12</v>
      </c>
      <c r="Q339" s="35" t="s">
        <v>1336</v>
      </c>
      <c r="R339" s="32" t="s">
        <v>455</v>
      </c>
      <c r="S339" s="32" t="s">
        <v>1172</v>
      </c>
      <c r="T339" s="17"/>
    </row>
    <row r="340" ht="99" customHeight="1" spans="1:20">
      <c r="A340" s="17">
        <f t="shared" si="43"/>
        <v>335</v>
      </c>
      <c r="B340" s="17" t="s">
        <v>58</v>
      </c>
      <c r="C340" s="19" t="s">
        <v>59</v>
      </c>
      <c r="D340" s="19" t="s">
        <v>63</v>
      </c>
      <c r="E340" s="17" t="s">
        <v>1337</v>
      </c>
      <c r="F340" s="21" t="s">
        <v>1338</v>
      </c>
      <c r="G340" s="17" t="s">
        <v>194</v>
      </c>
      <c r="H340" s="19" t="s">
        <v>675</v>
      </c>
      <c r="I340" s="16">
        <f t="shared" si="40"/>
        <v>79</v>
      </c>
      <c r="J340" s="17">
        <v>79</v>
      </c>
      <c r="K340" s="17"/>
      <c r="L340" s="17" t="s">
        <v>139</v>
      </c>
      <c r="M340" s="17">
        <v>65</v>
      </c>
      <c r="N340" s="17">
        <v>141</v>
      </c>
      <c r="O340" s="17">
        <v>5</v>
      </c>
      <c r="P340" s="19">
        <v>11</v>
      </c>
      <c r="Q340" s="21" t="s">
        <v>1339</v>
      </c>
      <c r="R340" s="17" t="s">
        <v>194</v>
      </c>
      <c r="S340" s="17" t="s">
        <v>1172</v>
      </c>
      <c r="T340" s="17"/>
    </row>
    <row r="341" ht="124" customHeight="1" spans="1:20">
      <c r="A341" s="17">
        <f t="shared" si="43"/>
        <v>336</v>
      </c>
      <c r="B341" s="17" t="s">
        <v>58</v>
      </c>
      <c r="C341" s="19" t="s">
        <v>59</v>
      </c>
      <c r="D341" s="19" t="s">
        <v>63</v>
      </c>
      <c r="E341" s="17" t="s">
        <v>1340</v>
      </c>
      <c r="F341" s="21" t="s">
        <v>1341</v>
      </c>
      <c r="G341" s="17" t="s">
        <v>194</v>
      </c>
      <c r="H341" s="19" t="s">
        <v>671</v>
      </c>
      <c r="I341" s="16">
        <f t="shared" si="40"/>
        <v>35</v>
      </c>
      <c r="J341" s="17">
        <v>35</v>
      </c>
      <c r="K341" s="17"/>
      <c r="L341" s="17" t="s">
        <v>139</v>
      </c>
      <c r="M341" s="17">
        <v>16</v>
      </c>
      <c r="N341" s="17">
        <v>27</v>
      </c>
      <c r="O341" s="17">
        <v>3</v>
      </c>
      <c r="P341" s="17">
        <v>4</v>
      </c>
      <c r="Q341" s="21" t="s">
        <v>1342</v>
      </c>
      <c r="R341" s="17" t="s">
        <v>194</v>
      </c>
      <c r="S341" s="17" t="s">
        <v>1172</v>
      </c>
      <c r="T341" s="17"/>
    </row>
    <row r="342" ht="128" customHeight="1" spans="1:20">
      <c r="A342" s="17">
        <f t="shared" si="43"/>
        <v>337</v>
      </c>
      <c r="B342" s="17" t="s">
        <v>58</v>
      </c>
      <c r="C342" s="19" t="s">
        <v>59</v>
      </c>
      <c r="D342" s="19" t="s">
        <v>63</v>
      </c>
      <c r="E342" s="17" t="s">
        <v>1343</v>
      </c>
      <c r="F342" s="21" t="s">
        <v>1344</v>
      </c>
      <c r="G342" s="17" t="s">
        <v>207</v>
      </c>
      <c r="H342" s="19" t="s">
        <v>1345</v>
      </c>
      <c r="I342" s="16">
        <f t="shared" si="40"/>
        <v>23</v>
      </c>
      <c r="J342" s="17">
        <v>23</v>
      </c>
      <c r="K342" s="17"/>
      <c r="L342" s="17" t="s">
        <v>139</v>
      </c>
      <c r="M342" s="17">
        <v>38</v>
      </c>
      <c r="N342" s="17">
        <v>182</v>
      </c>
      <c r="O342" s="17">
        <v>3</v>
      </c>
      <c r="P342" s="17">
        <v>7</v>
      </c>
      <c r="Q342" s="21" t="s">
        <v>1346</v>
      </c>
      <c r="R342" s="17" t="s">
        <v>210</v>
      </c>
      <c r="S342" s="19" t="s">
        <v>1172</v>
      </c>
      <c r="T342" s="17"/>
    </row>
    <row r="343" ht="117" customHeight="1" spans="1:20">
      <c r="A343" s="17">
        <f t="shared" si="43"/>
        <v>338</v>
      </c>
      <c r="B343" s="17" t="s">
        <v>58</v>
      </c>
      <c r="C343" s="19" t="s">
        <v>59</v>
      </c>
      <c r="D343" s="19" t="s">
        <v>63</v>
      </c>
      <c r="E343" s="17" t="s">
        <v>1347</v>
      </c>
      <c r="F343" s="21" t="s">
        <v>1348</v>
      </c>
      <c r="G343" s="17" t="s">
        <v>207</v>
      </c>
      <c r="H343" s="19" t="s">
        <v>1345</v>
      </c>
      <c r="I343" s="16">
        <f t="shared" si="40"/>
        <v>12.4</v>
      </c>
      <c r="J343" s="17">
        <v>12.4</v>
      </c>
      <c r="K343" s="17"/>
      <c r="L343" s="17" t="s">
        <v>139</v>
      </c>
      <c r="M343" s="17">
        <v>54</v>
      </c>
      <c r="N343" s="17">
        <v>116</v>
      </c>
      <c r="O343" s="17">
        <v>0</v>
      </c>
      <c r="P343" s="17">
        <v>0</v>
      </c>
      <c r="Q343" s="21" t="s">
        <v>1349</v>
      </c>
      <c r="R343" s="17" t="s">
        <v>210</v>
      </c>
      <c r="S343" s="19" t="s">
        <v>1172</v>
      </c>
      <c r="T343" s="17"/>
    </row>
    <row r="344" ht="124" customHeight="1" spans="1:20">
      <c r="A344" s="17">
        <f t="shared" si="43"/>
        <v>339</v>
      </c>
      <c r="B344" s="17" t="s">
        <v>58</v>
      </c>
      <c r="C344" s="19" t="s">
        <v>59</v>
      </c>
      <c r="D344" s="19" t="s">
        <v>63</v>
      </c>
      <c r="E344" s="17" t="s">
        <v>1350</v>
      </c>
      <c r="F344" s="21" t="s">
        <v>1351</v>
      </c>
      <c r="G344" s="17" t="s">
        <v>207</v>
      </c>
      <c r="H344" s="19" t="s">
        <v>1345</v>
      </c>
      <c r="I344" s="16">
        <f t="shared" si="40"/>
        <v>26</v>
      </c>
      <c r="J344" s="17">
        <v>26</v>
      </c>
      <c r="K344" s="17"/>
      <c r="L344" s="17" t="s">
        <v>139</v>
      </c>
      <c r="M344" s="17">
        <v>88</v>
      </c>
      <c r="N344" s="17">
        <v>237</v>
      </c>
      <c r="O344" s="17">
        <v>1</v>
      </c>
      <c r="P344" s="17">
        <v>1</v>
      </c>
      <c r="Q344" s="21" t="s">
        <v>1352</v>
      </c>
      <c r="R344" s="17" t="s">
        <v>210</v>
      </c>
      <c r="S344" s="19" t="s">
        <v>1172</v>
      </c>
      <c r="T344" s="17"/>
    </row>
    <row r="345" ht="104.4" spans="1:20">
      <c r="A345" s="17">
        <f t="shared" si="43"/>
        <v>340</v>
      </c>
      <c r="B345" s="17" t="s">
        <v>58</v>
      </c>
      <c r="C345" s="19" t="s">
        <v>59</v>
      </c>
      <c r="D345" s="19" t="s">
        <v>63</v>
      </c>
      <c r="E345" s="17" t="s">
        <v>1353</v>
      </c>
      <c r="F345" s="21" t="s">
        <v>1354</v>
      </c>
      <c r="G345" s="17" t="s">
        <v>207</v>
      </c>
      <c r="H345" s="17" t="s">
        <v>1355</v>
      </c>
      <c r="I345" s="16">
        <f t="shared" si="40"/>
        <v>43.7</v>
      </c>
      <c r="J345" s="17">
        <v>43.7</v>
      </c>
      <c r="K345" s="17"/>
      <c r="L345" s="17" t="s">
        <v>139</v>
      </c>
      <c r="M345" s="17">
        <v>167</v>
      </c>
      <c r="N345" s="17">
        <v>425</v>
      </c>
      <c r="O345" s="17">
        <v>9</v>
      </c>
      <c r="P345" s="17">
        <v>18</v>
      </c>
      <c r="Q345" s="21" t="s">
        <v>1356</v>
      </c>
      <c r="R345" s="17" t="s">
        <v>210</v>
      </c>
      <c r="S345" s="17" t="s">
        <v>1172</v>
      </c>
      <c r="T345" s="17"/>
    </row>
    <row r="346" ht="69.6" spans="1:20">
      <c r="A346" s="17">
        <f t="shared" si="43"/>
        <v>341</v>
      </c>
      <c r="B346" s="17" t="s">
        <v>58</v>
      </c>
      <c r="C346" s="19" t="s">
        <v>68</v>
      </c>
      <c r="D346" s="17" t="s">
        <v>72</v>
      </c>
      <c r="E346" s="17" t="s">
        <v>1357</v>
      </c>
      <c r="F346" s="21" t="s">
        <v>1358</v>
      </c>
      <c r="G346" s="17" t="s">
        <v>213</v>
      </c>
      <c r="H346" s="17" t="s">
        <v>554</v>
      </c>
      <c r="I346" s="16">
        <f t="shared" si="40"/>
        <v>80</v>
      </c>
      <c r="J346" s="17">
        <v>80</v>
      </c>
      <c r="K346" s="17"/>
      <c r="L346" s="17" t="s">
        <v>139</v>
      </c>
      <c r="M346" s="17">
        <v>44</v>
      </c>
      <c r="N346" s="17">
        <v>109</v>
      </c>
      <c r="O346" s="17">
        <v>2</v>
      </c>
      <c r="P346" s="17">
        <v>5</v>
      </c>
      <c r="Q346" s="21" t="s">
        <v>1359</v>
      </c>
      <c r="R346" s="17" t="s">
        <v>941</v>
      </c>
      <c r="S346" s="17" t="s">
        <v>941</v>
      </c>
      <c r="T346" s="17" t="s">
        <v>176</v>
      </c>
    </row>
    <row r="347" ht="104.4" spans="1:20">
      <c r="A347" s="17">
        <f t="shared" si="43"/>
        <v>342</v>
      </c>
      <c r="B347" s="17" t="s">
        <v>58</v>
      </c>
      <c r="C347" s="19" t="s">
        <v>59</v>
      </c>
      <c r="D347" s="19" t="s">
        <v>63</v>
      </c>
      <c r="E347" s="17" t="s">
        <v>1360</v>
      </c>
      <c r="F347" s="21" t="s">
        <v>1361</v>
      </c>
      <c r="G347" s="17" t="s">
        <v>232</v>
      </c>
      <c r="H347" s="19" t="s">
        <v>238</v>
      </c>
      <c r="I347" s="16">
        <f t="shared" si="40"/>
        <v>15</v>
      </c>
      <c r="J347" s="17">
        <v>15</v>
      </c>
      <c r="K347" s="17"/>
      <c r="L347" s="17" t="s">
        <v>139</v>
      </c>
      <c r="M347" s="17">
        <v>71</v>
      </c>
      <c r="N347" s="17">
        <v>220</v>
      </c>
      <c r="O347" s="17">
        <v>5</v>
      </c>
      <c r="P347" s="17">
        <v>11</v>
      </c>
      <c r="Q347" s="21" t="s">
        <v>1362</v>
      </c>
      <c r="R347" s="17" t="s">
        <v>240</v>
      </c>
      <c r="S347" s="17" t="s">
        <v>1172</v>
      </c>
      <c r="T347" s="17"/>
    </row>
    <row r="348" ht="115" customHeight="1" spans="1:20">
      <c r="A348" s="17">
        <f t="shared" ref="A348:A357" si="44">ROW()-5</f>
        <v>343</v>
      </c>
      <c r="B348" s="17" t="s">
        <v>58</v>
      </c>
      <c r="C348" s="17" t="s">
        <v>59</v>
      </c>
      <c r="D348" s="17" t="s">
        <v>63</v>
      </c>
      <c r="E348" s="17" t="s">
        <v>1363</v>
      </c>
      <c r="F348" s="21" t="s">
        <v>1364</v>
      </c>
      <c r="G348" s="17" t="s">
        <v>173</v>
      </c>
      <c r="H348" s="17" t="s">
        <v>1164</v>
      </c>
      <c r="I348" s="16">
        <f t="shared" si="40"/>
        <v>40</v>
      </c>
      <c r="J348" s="17">
        <v>40</v>
      </c>
      <c r="K348" s="17"/>
      <c r="L348" s="17" t="s">
        <v>139</v>
      </c>
      <c r="M348" s="17">
        <v>96</v>
      </c>
      <c r="N348" s="17">
        <v>303</v>
      </c>
      <c r="O348" s="17">
        <v>7</v>
      </c>
      <c r="P348" s="17">
        <v>12</v>
      </c>
      <c r="Q348" s="21" t="s">
        <v>1365</v>
      </c>
      <c r="R348" s="17" t="s">
        <v>173</v>
      </c>
      <c r="S348" s="17" t="s">
        <v>1172</v>
      </c>
      <c r="T348" s="17"/>
    </row>
    <row r="349" ht="124" customHeight="1" spans="1:20">
      <c r="A349" s="17">
        <f t="shared" si="44"/>
        <v>344</v>
      </c>
      <c r="B349" s="16" t="s">
        <v>58</v>
      </c>
      <c r="C349" s="16" t="s">
        <v>59</v>
      </c>
      <c r="D349" s="16" t="s">
        <v>41</v>
      </c>
      <c r="E349" s="16" t="s">
        <v>1366</v>
      </c>
      <c r="F349" s="18" t="s">
        <v>1367</v>
      </c>
      <c r="G349" s="16" t="s">
        <v>362</v>
      </c>
      <c r="H349" s="16" t="s">
        <v>371</v>
      </c>
      <c r="I349" s="16">
        <f t="shared" si="40"/>
        <v>5</v>
      </c>
      <c r="J349" s="16">
        <v>5</v>
      </c>
      <c r="K349" s="16"/>
      <c r="L349" s="16" t="s">
        <v>139</v>
      </c>
      <c r="M349" s="16">
        <v>220</v>
      </c>
      <c r="N349" s="16">
        <v>562</v>
      </c>
      <c r="O349" s="16">
        <v>9</v>
      </c>
      <c r="P349" s="16">
        <v>11</v>
      </c>
      <c r="Q349" s="18" t="s">
        <v>1368</v>
      </c>
      <c r="R349" s="16" t="s">
        <v>365</v>
      </c>
      <c r="S349" s="16" t="s">
        <v>941</v>
      </c>
      <c r="T349" s="17" t="s">
        <v>176</v>
      </c>
    </row>
    <row r="350" ht="128" customHeight="1" spans="1:20">
      <c r="A350" s="17">
        <f t="shared" si="44"/>
        <v>345</v>
      </c>
      <c r="B350" s="16" t="s">
        <v>58</v>
      </c>
      <c r="C350" s="16" t="s">
        <v>59</v>
      </c>
      <c r="D350" s="16" t="s">
        <v>41</v>
      </c>
      <c r="E350" s="16" t="s">
        <v>1369</v>
      </c>
      <c r="F350" s="18" t="s">
        <v>1370</v>
      </c>
      <c r="G350" s="16" t="s">
        <v>362</v>
      </c>
      <c r="H350" s="16" t="s">
        <v>371</v>
      </c>
      <c r="I350" s="16">
        <f t="shared" si="40"/>
        <v>101</v>
      </c>
      <c r="J350" s="16">
        <v>101</v>
      </c>
      <c r="K350" s="16"/>
      <c r="L350" s="16" t="s">
        <v>139</v>
      </c>
      <c r="M350" s="16">
        <v>136</v>
      </c>
      <c r="N350" s="16">
        <v>220</v>
      </c>
      <c r="O350" s="16">
        <v>3</v>
      </c>
      <c r="P350" s="16">
        <v>7</v>
      </c>
      <c r="Q350" s="18" t="s">
        <v>1371</v>
      </c>
      <c r="R350" s="16" t="s">
        <v>365</v>
      </c>
      <c r="S350" s="16" t="s">
        <v>941</v>
      </c>
      <c r="T350" s="17" t="s">
        <v>176</v>
      </c>
    </row>
    <row r="351" ht="158" customHeight="1" spans="1:20">
      <c r="A351" s="17">
        <f t="shared" si="44"/>
        <v>346</v>
      </c>
      <c r="B351" s="17" t="s">
        <v>58</v>
      </c>
      <c r="C351" s="19" t="s">
        <v>68</v>
      </c>
      <c r="D351" s="19" t="s">
        <v>69</v>
      </c>
      <c r="E351" s="17" t="s">
        <v>1372</v>
      </c>
      <c r="F351" s="21" t="s">
        <v>1373</v>
      </c>
      <c r="G351" s="17" t="s">
        <v>183</v>
      </c>
      <c r="H351" s="19" t="s">
        <v>1374</v>
      </c>
      <c r="I351" s="16">
        <f t="shared" si="40"/>
        <v>135</v>
      </c>
      <c r="J351" s="17">
        <v>135</v>
      </c>
      <c r="K351" s="17"/>
      <c r="L351" s="17" t="s">
        <v>139</v>
      </c>
      <c r="M351" s="17">
        <v>392</v>
      </c>
      <c r="N351" s="17">
        <v>1186</v>
      </c>
      <c r="O351" s="17">
        <v>6</v>
      </c>
      <c r="P351" s="19">
        <v>7</v>
      </c>
      <c r="Q351" s="21" t="s">
        <v>1375</v>
      </c>
      <c r="R351" s="17" t="s">
        <v>142</v>
      </c>
      <c r="S351" s="17" t="s">
        <v>142</v>
      </c>
      <c r="T351" s="17"/>
    </row>
    <row r="352" s="1" customFormat="1" ht="122" customHeight="1" spans="1:20">
      <c r="A352" s="17">
        <f t="shared" si="44"/>
        <v>347</v>
      </c>
      <c r="B352" s="17" t="s">
        <v>58</v>
      </c>
      <c r="C352" s="19" t="s">
        <v>68</v>
      </c>
      <c r="D352" s="19" t="s">
        <v>69</v>
      </c>
      <c r="E352" s="16" t="s">
        <v>1376</v>
      </c>
      <c r="F352" s="18" t="s">
        <v>1377</v>
      </c>
      <c r="G352" s="16" t="s">
        <v>213</v>
      </c>
      <c r="H352" s="20" t="s">
        <v>468</v>
      </c>
      <c r="I352" s="16">
        <f t="shared" si="40"/>
        <v>15</v>
      </c>
      <c r="J352" s="16"/>
      <c r="K352" s="16">
        <v>15</v>
      </c>
      <c r="L352" s="16" t="s">
        <v>139</v>
      </c>
      <c r="M352" s="16">
        <v>517</v>
      </c>
      <c r="N352" s="16">
        <v>1353</v>
      </c>
      <c r="O352" s="16">
        <v>57</v>
      </c>
      <c r="P352" s="20">
        <v>120</v>
      </c>
      <c r="Q352" s="18" t="s">
        <v>1378</v>
      </c>
      <c r="R352" s="17" t="s">
        <v>216</v>
      </c>
      <c r="S352" s="17" t="s">
        <v>142</v>
      </c>
      <c r="T352" s="17" t="s">
        <v>176</v>
      </c>
    </row>
    <row r="353" s="1" customFormat="1" ht="104.4" spans="1:20">
      <c r="A353" s="17">
        <f t="shared" si="44"/>
        <v>348</v>
      </c>
      <c r="B353" s="17" t="s">
        <v>58</v>
      </c>
      <c r="C353" s="19" t="s">
        <v>68</v>
      </c>
      <c r="D353" s="19" t="s">
        <v>69</v>
      </c>
      <c r="E353" s="16" t="s">
        <v>1379</v>
      </c>
      <c r="F353" s="18" t="s">
        <v>1380</v>
      </c>
      <c r="G353" s="16" t="s">
        <v>247</v>
      </c>
      <c r="H353" s="20" t="s">
        <v>624</v>
      </c>
      <c r="I353" s="16">
        <f t="shared" si="40"/>
        <v>40</v>
      </c>
      <c r="J353" s="16"/>
      <c r="K353" s="16">
        <v>40</v>
      </c>
      <c r="L353" s="16" t="s">
        <v>139</v>
      </c>
      <c r="M353" s="16">
        <v>473</v>
      </c>
      <c r="N353" s="16">
        <v>1394</v>
      </c>
      <c r="O353" s="16">
        <v>8</v>
      </c>
      <c r="P353" s="20">
        <v>14</v>
      </c>
      <c r="Q353" s="18" t="s">
        <v>1381</v>
      </c>
      <c r="R353" s="17" t="s">
        <v>250</v>
      </c>
      <c r="S353" s="17" t="s">
        <v>142</v>
      </c>
      <c r="T353" s="17" t="s">
        <v>176</v>
      </c>
    </row>
    <row r="354" s="1" customFormat="1" ht="104.4" spans="1:20">
      <c r="A354" s="17">
        <f t="shared" si="44"/>
        <v>349</v>
      </c>
      <c r="B354" s="17" t="s">
        <v>58</v>
      </c>
      <c r="C354" s="19" t="s">
        <v>68</v>
      </c>
      <c r="D354" s="19" t="s">
        <v>69</v>
      </c>
      <c r="E354" s="16" t="s">
        <v>1382</v>
      </c>
      <c r="F354" s="18" t="s">
        <v>1383</v>
      </c>
      <c r="G354" s="16" t="s">
        <v>285</v>
      </c>
      <c r="H354" s="20" t="s">
        <v>295</v>
      </c>
      <c r="I354" s="16">
        <f t="shared" si="40"/>
        <v>38</v>
      </c>
      <c r="J354" s="16">
        <v>38</v>
      </c>
      <c r="K354" s="16"/>
      <c r="L354" s="16" t="s">
        <v>139</v>
      </c>
      <c r="M354" s="16">
        <v>503</v>
      </c>
      <c r="N354" s="16">
        <v>1419</v>
      </c>
      <c r="O354" s="16">
        <v>4</v>
      </c>
      <c r="P354" s="20">
        <v>8</v>
      </c>
      <c r="Q354" s="18" t="s">
        <v>1384</v>
      </c>
      <c r="R354" s="17" t="s">
        <v>288</v>
      </c>
      <c r="S354" s="17" t="s">
        <v>142</v>
      </c>
      <c r="T354" s="17" t="s">
        <v>176</v>
      </c>
    </row>
    <row r="355" ht="128" customHeight="1" spans="1:20">
      <c r="A355" s="17">
        <f t="shared" si="44"/>
        <v>350</v>
      </c>
      <c r="B355" s="16" t="s">
        <v>58</v>
      </c>
      <c r="C355" s="16" t="s">
        <v>68</v>
      </c>
      <c r="D355" s="16" t="s">
        <v>69</v>
      </c>
      <c r="E355" s="16" t="s">
        <v>1385</v>
      </c>
      <c r="F355" s="18" t="s">
        <v>1386</v>
      </c>
      <c r="G355" s="16" t="s">
        <v>257</v>
      </c>
      <c r="H355" s="16" t="s">
        <v>266</v>
      </c>
      <c r="I355" s="16">
        <f t="shared" si="40"/>
        <v>60</v>
      </c>
      <c r="J355" s="16"/>
      <c r="K355" s="16">
        <v>60</v>
      </c>
      <c r="L355" s="16" t="s">
        <v>139</v>
      </c>
      <c r="M355" s="16">
        <v>63</v>
      </c>
      <c r="N355" s="16">
        <v>176</v>
      </c>
      <c r="O355" s="16">
        <v>1</v>
      </c>
      <c r="P355" s="16">
        <v>1</v>
      </c>
      <c r="Q355" s="18" t="s">
        <v>1387</v>
      </c>
      <c r="R355" s="16" t="s">
        <v>260</v>
      </c>
      <c r="S355" s="16" t="s">
        <v>142</v>
      </c>
      <c r="T355" s="16"/>
    </row>
    <row r="356" ht="52.2" spans="1:20">
      <c r="A356" s="17">
        <f t="shared" si="44"/>
        <v>351</v>
      </c>
      <c r="B356" s="17" t="s">
        <v>58</v>
      </c>
      <c r="C356" s="17" t="s">
        <v>68</v>
      </c>
      <c r="D356" s="17" t="s">
        <v>70</v>
      </c>
      <c r="E356" s="17" t="s">
        <v>1388</v>
      </c>
      <c r="F356" s="21" t="s">
        <v>1389</v>
      </c>
      <c r="G356" s="17" t="s">
        <v>247</v>
      </c>
      <c r="H356" s="17" t="s">
        <v>624</v>
      </c>
      <c r="I356" s="16">
        <f t="shared" si="40"/>
        <v>15</v>
      </c>
      <c r="J356" s="34">
        <v>15</v>
      </c>
      <c r="K356" s="34"/>
      <c r="L356" s="17" t="s">
        <v>139</v>
      </c>
      <c r="M356" s="34">
        <v>136</v>
      </c>
      <c r="N356" s="34">
        <v>533</v>
      </c>
      <c r="O356" s="34">
        <v>3</v>
      </c>
      <c r="P356" s="34">
        <v>7</v>
      </c>
      <c r="Q356" s="21" t="s">
        <v>1390</v>
      </c>
      <c r="R356" s="17" t="s">
        <v>250</v>
      </c>
      <c r="S356" s="17" t="s">
        <v>941</v>
      </c>
      <c r="T356" s="17" t="s">
        <v>176</v>
      </c>
    </row>
    <row r="357" s="2" customFormat="1" ht="58" customHeight="1" spans="1:20">
      <c r="A357" s="17">
        <f t="shared" si="44"/>
        <v>352</v>
      </c>
      <c r="B357" s="17" t="s">
        <v>58</v>
      </c>
      <c r="C357" s="17" t="s">
        <v>68</v>
      </c>
      <c r="D357" s="17" t="s">
        <v>70</v>
      </c>
      <c r="E357" s="17" t="s">
        <v>1391</v>
      </c>
      <c r="F357" s="21" t="s">
        <v>1392</v>
      </c>
      <c r="G357" s="17" t="s">
        <v>362</v>
      </c>
      <c r="H357" s="17" t="s">
        <v>371</v>
      </c>
      <c r="I357" s="16">
        <f t="shared" si="40"/>
        <v>20</v>
      </c>
      <c r="J357" s="17">
        <v>20</v>
      </c>
      <c r="K357" s="16"/>
      <c r="L357" s="17" t="s">
        <v>139</v>
      </c>
      <c r="M357" s="17">
        <v>136</v>
      </c>
      <c r="N357" s="17">
        <v>220</v>
      </c>
      <c r="O357" s="17">
        <v>3</v>
      </c>
      <c r="P357" s="17">
        <v>7</v>
      </c>
      <c r="Q357" s="17" t="s">
        <v>979</v>
      </c>
      <c r="R357" s="17" t="s">
        <v>365</v>
      </c>
      <c r="S357" s="17" t="s">
        <v>941</v>
      </c>
      <c r="T357" s="17" t="s">
        <v>176</v>
      </c>
    </row>
    <row r="358" s="1" customFormat="1" ht="85" customHeight="1" spans="1:20">
      <c r="A358" s="17">
        <f t="shared" ref="A358:A367" si="45">ROW()-5</f>
        <v>353</v>
      </c>
      <c r="B358" s="17" t="s">
        <v>58</v>
      </c>
      <c r="C358" s="19" t="s">
        <v>68</v>
      </c>
      <c r="D358" s="19" t="s">
        <v>72</v>
      </c>
      <c r="E358" s="16" t="s">
        <v>1393</v>
      </c>
      <c r="F358" s="18" t="s">
        <v>1394</v>
      </c>
      <c r="G358" s="16" t="s">
        <v>412</v>
      </c>
      <c r="H358" s="20" t="s">
        <v>870</v>
      </c>
      <c r="I358" s="16">
        <f t="shared" si="40"/>
        <v>50</v>
      </c>
      <c r="J358" s="16"/>
      <c r="K358" s="16">
        <v>50</v>
      </c>
      <c r="L358" s="16" t="s">
        <v>139</v>
      </c>
      <c r="M358" s="16">
        <v>496</v>
      </c>
      <c r="N358" s="16">
        <v>1467</v>
      </c>
      <c r="O358" s="16">
        <v>13</v>
      </c>
      <c r="P358" s="20">
        <v>17</v>
      </c>
      <c r="Q358" s="18" t="s">
        <v>1395</v>
      </c>
      <c r="R358" s="17" t="s">
        <v>415</v>
      </c>
      <c r="S358" s="17" t="s">
        <v>941</v>
      </c>
      <c r="T358" s="17" t="s">
        <v>176</v>
      </c>
    </row>
    <row r="359" s="1" customFormat="1" ht="70" customHeight="1" spans="1:20">
      <c r="A359" s="17">
        <f t="shared" si="45"/>
        <v>354</v>
      </c>
      <c r="B359" s="17" t="s">
        <v>58</v>
      </c>
      <c r="C359" s="19" t="s">
        <v>68</v>
      </c>
      <c r="D359" s="19" t="s">
        <v>72</v>
      </c>
      <c r="E359" s="16" t="s">
        <v>1396</v>
      </c>
      <c r="F359" s="18" t="s">
        <v>1397</v>
      </c>
      <c r="G359" s="16" t="s">
        <v>412</v>
      </c>
      <c r="H359" s="20" t="s">
        <v>418</v>
      </c>
      <c r="I359" s="16">
        <f t="shared" si="40"/>
        <v>50</v>
      </c>
      <c r="J359" s="16"/>
      <c r="K359" s="16">
        <v>50</v>
      </c>
      <c r="L359" s="16" t="s">
        <v>139</v>
      </c>
      <c r="M359" s="16">
        <v>519</v>
      </c>
      <c r="N359" s="16">
        <v>1519</v>
      </c>
      <c r="O359" s="16">
        <v>13</v>
      </c>
      <c r="P359" s="20">
        <v>21</v>
      </c>
      <c r="Q359" s="18" t="s">
        <v>1398</v>
      </c>
      <c r="R359" s="17" t="s">
        <v>415</v>
      </c>
      <c r="S359" s="17" t="s">
        <v>941</v>
      </c>
      <c r="T359" s="17" t="s">
        <v>176</v>
      </c>
    </row>
    <row r="360" s="1" customFormat="1" ht="73" customHeight="1" spans="1:20">
      <c r="A360" s="17">
        <f t="shared" si="45"/>
        <v>355</v>
      </c>
      <c r="B360" s="17" t="s">
        <v>58</v>
      </c>
      <c r="C360" s="19" t="s">
        <v>68</v>
      </c>
      <c r="D360" s="19" t="s">
        <v>72</v>
      </c>
      <c r="E360" s="16" t="s">
        <v>1399</v>
      </c>
      <c r="F360" s="18" t="s">
        <v>1400</v>
      </c>
      <c r="G360" s="16" t="s">
        <v>412</v>
      </c>
      <c r="H360" s="20" t="s">
        <v>1044</v>
      </c>
      <c r="I360" s="16">
        <f t="shared" si="40"/>
        <v>50</v>
      </c>
      <c r="J360" s="16"/>
      <c r="K360" s="16">
        <v>50</v>
      </c>
      <c r="L360" s="16" t="s">
        <v>139</v>
      </c>
      <c r="M360" s="16">
        <v>486</v>
      </c>
      <c r="N360" s="16">
        <v>1458</v>
      </c>
      <c r="O360" s="16">
        <v>13</v>
      </c>
      <c r="P360" s="20">
        <v>14</v>
      </c>
      <c r="Q360" s="18" t="s">
        <v>1401</v>
      </c>
      <c r="R360" s="17" t="s">
        <v>415</v>
      </c>
      <c r="S360" s="17" t="s">
        <v>941</v>
      </c>
      <c r="T360" s="17" t="s">
        <v>176</v>
      </c>
    </row>
    <row r="361" s="1" customFormat="1" ht="80" customHeight="1" spans="1:20">
      <c r="A361" s="17">
        <f t="shared" si="45"/>
        <v>356</v>
      </c>
      <c r="B361" s="17" t="s">
        <v>58</v>
      </c>
      <c r="C361" s="19" t="s">
        <v>68</v>
      </c>
      <c r="D361" s="19" t="s">
        <v>72</v>
      </c>
      <c r="E361" s="16" t="s">
        <v>1402</v>
      </c>
      <c r="F361" s="18" t="s">
        <v>1403</v>
      </c>
      <c r="G361" s="16" t="s">
        <v>429</v>
      </c>
      <c r="H361" s="20" t="s">
        <v>430</v>
      </c>
      <c r="I361" s="16">
        <f t="shared" si="40"/>
        <v>150</v>
      </c>
      <c r="J361" s="16">
        <v>150</v>
      </c>
      <c r="K361" s="16"/>
      <c r="L361" s="16" t="s">
        <v>139</v>
      </c>
      <c r="M361" s="16">
        <v>105</v>
      </c>
      <c r="N361" s="16">
        <v>281</v>
      </c>
      <c r="O361" s="16">
        <v>2</v>
      </c>
      <c r="P361" s="20">
        <v>3</v>
      </c>
      <c r="Q361" s="18" t="s">
        <v>1404</v>
      </c>
      <c r="R361" s="17" t="s">
        <v>432</v>
      </c>
      <c r="S361" s="17" t="s">
        <v>941</v>
      </c>
      <c r="T361" s="17" t="s">
        <v>433</v>
      </c>
    </row>
    <row r="362" s="1" customFormat="1" ht="72" customHeight="1" spans="1:20">
      <c r="A362" s="17">
        <f t="shared" si="45"/>
        <v>357</v>
      </c>
      <c r="B362" s="17" t="s">
        <v>58</v>
      </c>
      <c r="C362" s="19" t="s">
        <v>68</v>
      </c>
      <c r="D362" s="19" t="s">
        <v>72</v>
      </c>
      <c r="E362" s="16" t="s">
        <v>1405</v>
      </c>
      <c r="F362" s="18" t="s">
        <v>1406</v>
      </c>
      <c r="G362" s="16" t="s">
        <v>429</v>
      </c>
      <c r="H362" s="20" t="s">
        <v>663</v>
      </c>
      <c r="I362" s="16">
        <f t="shared" si="40"/>
        <v>60</v>
      </c>
      <c r="J362" s="16"/>
      <c r="K362" s="16">
        <v>60</v>
      </c>
      <c r="L362" s="16" t="s">
        <v>139</v>
      </c>
      <c r="M362" s="16">
        <v>86</v>
      </c>
      <c r="N362" s="16">
        <v>310</v>
      </c>
      <c r="O362" s="16">
        <v>3</v>
      </c>
      <c r="P362" s="20">
        <v>9</v>
      </c>
      <c r="Q362" s="18" t="s">
        <v>1407</v>
      </c>
      <c r="R362" s="17" t="s">
        <v>432</v>
      </c>
      <c r="S362" s="17" t="s">
        <v>941</v>
      </c>
      <c r="T362" s="17" t="s">
        <v>176</v>
      </c>
    </row>
    <row r="363" s="1" customFormat="1" ht="52.2" spans="1:20">
      <c r="A363" s="17">
        <f t="shared" si="45"/>
        <v>358</v>
      </c>
      <c r="B363" s="17" t="s">
        <v>58</v>
      </c>
      <c r="C363" s="19" t="s">
        <v>68</v>
      </c>
      <c r="D363" s="19" t="s">
        <v>72</v>
      </c>
      <c r="E363" s="16" t="s">
        <v>1408</v>
      </c>
      <c r="F363" s="18" t="s">
        <v>1409</v>
      </c>
      <c r="G363" s="16" t="s">
        <v>429</v>
      </c>
      <c r="H363" s="20" t="s">
        <v>663</v>
      </c>
      <c r="I363" s="16">
        <f t="shared" si="40"/>
        <v>11.7</v>
      </c>
      <c r="J363" s="16"/>
      <c r="K363" s="16">
        <v>11.7</v>
      </c>
      <c r="L363" s="16" t="s">
        <v>139</v>
      </c>
      <c r="M363" s="16">
        <v>32</v>
      </c>
      <c r="N363" s="16">
        <v>123</v>
      </c>
      <c r="O363" s="16">
        <v>2</v>
      </c>
      <c r="P363" s="20">
        <v>6</v>
      </c>
      <c r="Q363" s="18" t="s">
        <v>1410</v>
      </c>
      <c r="R363" s="17" t="s">
        <v>432</v>
      </c>
      <c r="S363" s="17" t="s">
        <v>941</v>
      </c>
      <c r="T363" s="17" t="s">
        <v>176</v>
      </c>
    </row>
    <row r="364" s="1" customFormat="1" ht="69.6" spans="1:20">
      <c r="A364" s="17">
        <f t="shared" si="45"/>
        <v>359</v>
      </c>
      <c r="B364" s="17" t="s">
        <v>58</v>
      </c>
      <c r="C364" s="19" t="s">
        <v>68</v>
      </c>
      <c r="D364" s="19" t="s">
        <v>72</v>
      </c>
      <c r="E364" s="16" t="s">
        <v>1411</v>
      </c>
      <c r="F364" s="18" t="s">
        <v>1412</v>
      </c>
      <c r="G364" s="16" t="s">
        <v>207</v>
      </c>
      <c r="H364" s="20" t="s">
        <v>683</v>
      </c>
      <c r="I364" s="16">
        <f t="shared" si="40"/>
        <v>74.7</v>
      </c>
      <c r="J364" s="16">
        <v>24.7</v>
      </c>
      <c r="K364" s="16">
        <v>50</v>
      </c>
      <c r="L364" s="16" t="s">
        <v>139</v>
      </c>
      <c r="M364" s="16">
        <v>52</v>
      </c>
      <c r="N364" s="16">
        <v>160</v>
      </c>
      <c r="O364" s="16">
        <v>1</v>
      </c>
      <c r="P364" s="20">
        <v>1</v>
      </c>
      <c r="Q364" s="18" t="s">
        <v>1413</v>
      </c>
      <c r="R364" s="17" t="s">
        <v>210</v>
      </c>
      <c r="S364" s="17" t="s">
        <v>941</v>
      </c>
      <c r="T364" s="17" t="s">
        <v>176</v>
      </c>
    </row>
    <row r="365" s="1" customFormat="1" ht="104.4" spans="1:20">
      <c r="A365" s="17">
        <f t="shared" si="45"/>
        <v>360</v>
      </c>
      <c r="B365" s="16" t="s">
        <v>58</v>
      </c>
      <c r="C365" s="17" t="s">
        <v>68</v>
      </c>
      <c r="D365" s="17" t="s">
        <v>72</v>
      </c>
      <c r="E365" s="17" t="s">
        <v>1414</v>
      </c>
      <c r="F365" s="21" t="s">
        <v>1415</v>
      </c>
      <c r="G365" s="16" t="s">
        <v>207</v>
      </c>
      <c r="H365" s="17" t="s">
        <v>584</v>
      </c>
      <c r="I365" s="16">
        <f t="shared" si="40"/>
        <v>120</v>
      </c>
      <c r="J365" s="17">
        <v>120</v>
      </c>
      <c r="K365" s="17"/>
      <c r="L365" s="17" t="s">
        <v>139</v>
      </c>
      <c r="M365" s="17">
        <v>71</v>
      </c>
      <c r="N365" s="17">
        <v>181</v>
      </c>
      <c r="O365" s="17">
        <v>7</v>
      </c>
      <c r="P365" s="17">
        <v>16</v>
      </c>
      <c r="Q365" s="21" t="s">
        <v>1416</v>
      </c>
      <c r="R365" s="17" t="s">
        <v>210</v>
      </c>
      <c r="S365" s="17" t="s">
        <v>941</v>
      </c>
      <c r="T365" s="17" t="s">
        <v>433</v>
      </c>
    </row>
    <row r="366" s="1" customFormat="1" ht="69.6" spans="1:20">
      <c r="A366" s="17">
        <f t="shared" si="45"/>
        <v>361</v>
      </c>
      <c r="B366" s="17" t="s">
        <v>58</v>
      </c>
      <c r="C366" s="19" t="s">
        <v>68</v>
      </c>
      <c r="D366" s="16" t="s">
        <v>72</v>
      </c>
      <c r="E366" s="16" t="s">
        <v>1417</v>
      </c>
      <c r="F366" s="18" t="s">
        <v>1418</v>
      </c>
      <c r="G366" s="16" t="s">
        <v>213</v>
      </c>
      <c r="H366" s="16" t="s">
        <v>554</v>
      </c>
      <c r="I366" s="16">
        <f t="shared" si="40"/>
        <v>50</v>
      </c>
      <c r="J366" s="17"/>
      <c r="K366" s="16">
        <v>50</v>
      </c>
      <c r="L366" s="16" t="s">
        <v>139</v>
      </c>
      <c r="M366" s="16">
        <v>549</v>
      </c>
      <c r="N366" s="16">
        <v>1482</v>
      </c>
      <c r="O366" s="16">
        <v>45</v>
      </c>
      <c r="P366" s="16">
        <v>106</v>
      </c>
      <c r="Q366" s="18" t="s">
        <v>1419</v>
      </c>
      <c r="R366" s="16" t="s">
        <v>216</v>
      </c>
      <c r="S366" s="16" t="s">
        <v>941</v>
      </c>
      <c r="T366" s="17" t="s">
        <v>176</v>
      </c>
    </row>
    <row r="367" s="1" customFormat="1" ht="69.6" spans="1:20">
      <c r="A367" s="17">
        <f t="shared" si="45"/>
        <v>362</v>
      </c>
      <c r="B367" s="17" t="s">
        <v>58</v>
      </c>
      <c r="C367" s="19" t="s">
        <v>68</v>
      </c>
      <c r="D367" s="19" t="s">
        <v>72</v>
      </c>
      <c r="E367" s="16" t="s">
        <v>1420</v>
      </c>
      <c r="F367" s="18" t="s">
        <v>1421</v>
      </c>
      <c r="G367" s="16" t="s">
        <v>247</v>
      </c>
      <c r="H367" s="20" t="s">
        <v>624</v>
      </c>
      <c r="I367" s="16">
        <f t="shared" si="40"/>
        <v>88</v>
      </c>
      <c r="J367" s="16"/>
      <c r="K367" s="16">
        <v>88</v>
      </c>
      <c r="L367" s="16" t="s">
        <v>139</v>
      </c>
      <c r="M367" s="16">
        <v>473</v>
      </c>
      <c r="N367" s="16">
        <v>1394</v>
      </c>
      <c r="O367" s="16">
        <v>8</v>
      </c>
      <c r="P367" s="20">
        <v>14</v>
      </c>
      <c r="Q367" s="18" t="s">
        <v>1422</v>
      </c>
      <c r="R367" s="17" t="s">
        <v>250</v>
      </c>
      <c r="S367" s="17" t="s">
        <v>941</v>
      </c>
      <c r="T367" s="17" t="s">
        <v>176</v>
      </c>
    </row>
    <row r="368" s="1" customFormat="1" ht="69.6" spans="1:20">
      <c r="A368" s="17">
        <f t="shared" ref="A368:A377" si="46">ROW()-5</f>
        <v>363</v>
      </c>
      <c r="B368" s="17" t="s">
        <v>58</v>
      </c>
      <c r="C368" s="19" t="s">
        <v>68</v>
      </c>
      <c r="D368" s="19" t="s">
        <v>72</v>
      </c>
      <c r="E368" s="16" t="s">
        <v>1423</v>
      </c>
      <c r="F368" s="18" t="s">
        <v>1424</v>
      </c>
      <c r="G368" s="16" t="s">
        <v>247</v>
      </c>
      <c r="H368" s="20" t="s">
        <v>624</v>
      </c>
      <c r="I368" s="16">
        <f t="shared" si="40"/>
        <v>24</v>
      </c>
      <c r="J368" s="16"/>
      <c r="K368" s="16">
        <v>24</v>
      </c>
      <c r="L368" s="16" t="s">
        <v>139</v>
      </c>
      <c r="M368" s="16">
        <v>26</v>
      </c>
      <c r="N368" s="16">
        <v>96</v>
      </c>
      <c r="O368" s="16">
        <v>1</v>
      </c>
      <c r="P368" s="20">
        <v>3</v>
      </c>
      <c r="Q368" s="18" t="s">
        <v>1425</v>
      </c>
      <c r="R368" s="17" t="s">
        <v>250</v>
      </c>
      <c r="S368" s="17" t="s">
        <v>941</v>
      </c>
      <c r="T368" s="17" t="s">
        <v>176</v>
      </c>
    </row>
    <row r="369" s="1" customFormat="1" ht="69.6" spans="1:20">
      <c r="A369" s="17">
        <f t="shared" si="46"/>
        <v>364</v>
      </c>
      <c r="B369" s="17" t="s">
        <v>58</v>
      </c>
      <c r="C369" s="19" t="s">
        <v>68</v>
      </c>
      <c r="D369" s="19" t="s">
        <v>72</v>
      </c>
      <c r="E369" s="16" t="s">
        <v>1426</v>
      </c>
      <c r="F369" s="18" t="s">
        <v>1427</v>
      </c>
      <c r="G369" s="16" t="s">
        <v>285</v>
      </c>
      <c r="H369" s="20" t="s">
        <v>295</v>
      </c>
      <c r="I369" s="16">
        <f t="shared" si="40"/>
        <v>56.3</v>
      </c>
      <c r="J369" s="16"/>
      <c r="K369" s="16">
        <v>56.3</v>
      </c>
      <c r="L369" s="16" t="s">
        <v>139</v>
      </c>
      <c r="M369" s="16">
        <v>503</v>
      </c>
      <c r="N369" s="16">
        <v>1419</v>
      </c>
      <c r="O369" s="16">
        <v>4</v>
      </c>
      <c r="P369" s="20">
        <v>8</v>
      </c>
      <c r="Q369" s="18" t="s">
        <v>1428</v>
      </c>
      <c r="R369" s="17" t="s">
        <v>288</v>
      </c>
      <c r="S369" s="17" t="s">
        <v>941</v>
      </c>
      <c r="T369" s="17" t="s">
        <v>176</v>
      </c>
    </row>
    <row r="370" s="1" customFormat="1" ht="69.6" spans="1:20">
      <c r="A370" s="17">
        <f t="shared" si="46"/>
        <v>365</v>
      </c>
      <c r="B370" s="17" t="s">
        <v>58</v>
      </c>
      <c r="C370" s="19" t="s">
        <v>68</v>
      </c>
      <c r="D370" s="19" t="s">
        <v>72</v>
      </c>
      <c r="E370" s="16" t="s">
        <v>1429</v>
      </c>
      <c r="F370" s="18" t="s">
        <v>1430</v>
      </c>
      <c r="G370" s="16" t="s">
        <v>285</v>
      </c>
      <c r="H370" s="20" t="s">
        <v>295</v>
      </c>
      <c r="I370" s="16">
        <f t="shared" si="40"/>
        <v>57.3</v>
      </c>
      <c r="J370" s="16"/>
      <c r="K370" s="16">
        <v>57.3</v>
      </c>
      <c r="L370" s="16" t="s">
        <v>139</v>
      </c>
      <c r="M370" s="16">
        <v>503</v>
      </c>
      <c r="N370" s="16">
        <v>1419</v>
      </c>
      <c r="O370" s="16">
        <v>4</v>
      </c>
      <c r="P370" s="20">
        <v>8</v>
      </c>
      <c r="Q370" s="18" t="s">
        <v>1428</v>
      </c>
      <c r="R370" s="17" t="s">
        <v>288</v>
      </c>
      <c r="S370" s="17" t="s">
        <v>941</v>
      </c>
      <c r="T370" s="17" t="s">
        <v>176</v>
      </c>
    </row>
    <row r="371" s="1" customFormat="1" ht="104" customHeight="1" spans="1:20">
      <c r="A371" s="17">
        <f t="shared" si="46"/>
        <v>366</v>
      </c>
      <c r="B371" s="17" t="s">
        <v>58</v>
      </c>
      <c r="C371" s="19" t="s">
        <v>68</v>
      </c>
      <c r="D371" s="19" t="s">
        <v>72</v>
      </c>
      <c r="E371" s="16" t="s">
        <v>1431</v>
      </c>
      <c r="F371" s="18" t="s">
        <v>1432</v>
      </c>
      <c r="G371" s="16" t="s">
        <v>285</v>
      </c>
      <c r="H371" s="20" t="s">
        <v>295</v>
      </c>
      <c r="I371" s="16">
        <f t="shared" si="40"/>
        <v>56.4</v>
      </c>
      <c r="J371" s="16"/>
      <c r="K371" s="16">
        <v>56.4</v>
      </c>
      <c r="L371" s="16" t="s">
        <v>139</v>
      </c>
      <c r="M371" s="16">
        <v>503</v>
      </c>
      <c r="N371" s="16">
        <v>1419</v>
      </c>
      <c r="O371" s="16">
        <v>4</v>
      </c>
      <c r="P371" s="20">
        <v>8</v>
      </c>
      <c r="Q371" s="18" t="s">
        <v>1384</v>
      </c>
      <c r="R371" s="17" t="s">
        <v>288</v>
      </c>
      <c r="S371" s="17" t="s">
        <v>941</v>
      </c>
      <c r="T371" s="17" t="s">
        <v>176</v>
      </c>
    </row>
    <row r="372" s="1" customFormat="1" ht="87" customHeight="1" spans="1:20">
      <c r="A372" s="17">
        <f t="shared" si="46"/>
        <v>367</v>
      </c>
      <c r="B372" s="17" t="s">
        <v>58</v>
      </c>
      <c r="C372" s="19" t="s">
        <v>68</v>
      </c>
      <c r="D372" s="19" t="s">
        <v>72</v>
      </c>
      <c r="E372" s="16" t="s">
        <v>1433</v>
      </c>
      <c r="F372" s="18" t="s">
        <v>1434</v>
      </c>
      <c r="G372" s="16" t="s">
        <v>285</v>
      </c>
      <c r="H372" s="20" t="s">
        <v>295</v>
      </c>
      <c r="I372" s="16">
        <f t="shared" si="40"/>
        <v>30</v>
      </c>
      <c r="J372" s="16"/>
      <c r="K372" s="16">
        <v>30</v>
      </c>
      <c r="L372" s="16" t="s">
        <v>139</v>
      </c>
      <c r="M372" s="16">
        <v>503</v>
      </c>
      <c r="N372" s="16">
        <v>1419</v>
      </c>
      <c r="O372" s="16">
        <v>4</v>
      </c>
      <c r="P372" s="20">
        <v>8</v>
      </c>
      <c r="Q372" s="18" t="s">
        <v>1435</v>
      </c>
      <c r="R372" s="17" t="s">
        <v>288</v>
      </c>
      <c r="S372" s="17" t="s">
        <v>941</v>
      </c>
      <c r="T372" s="17" t="s">
        <v>176</v>
      </c>
    </row>
    <row r="373" s="1" customFormat="1" ht="73" customHeight="1" spans="1:20">
      <c r="A373" s="17">
        <f t="shared" si="46"/>
        <v>368</v>
      </c>
      <c r="B373" s="17" t="s">
        <v>58</v>
      </c>
      <c r="C373" s="19" t="s">
        <v>68</v>
      </c>
      <c r="D373" s="19" t="s">
        <v>72</v>
      </c>
      <c r="E373" s="16" t="s">
        <v>1436</v>
      </c>
      <c r="F373" s="18" t="s">
        <v>1437</v>
      </c>
      <c r="G373" s="16" t="s">
        <v>285</v>
      </c>
      <c r="H373" s="20" t="s">
        <v>295</v>
      </c>
      <c r="I373" s="16">
        <f t="shared" si="40"/>
        <v>20</v>
      </c>
      <c r="J373" s="16">
        <v>20</v>
      </c>
      <c r="K373" s="16"/>
      <c r="L373" s="16" t="s">
        <v>139</v>
      </c>
      <c r="M373" s="16">
        <v>503</v>
      </c>
      <c r="N373" s="16">
        <v>1419</v>
      </c>
      <c r="O373" s="16">
        <v>4</v>
      </c>
      <c r="P373" s="20">
        <v>8</v>
      </c>
      <c r="Q373" s="18" t="s">
        <v>1428</v>
      </c>
      <c r="R373" s="17" t="s">
        <v>288</v>
      </c>
      <c r="S373" s="17" t="s">
        <v>941</v>
      </c>
      <c r="T373" s="17" t="s">
        <v>176</v>
      </c>
    </row>
    <row r="374" s="1" customFormat="1" ht="84" customHeight="1" spans="1:20">
      <c r="A374" s="17">
        <f t="shared" si="46"/>
        <v>369</v>
      </c>
      <c r="B374" s="17" t="s">
        <v>58</v>
      </c>
      <c r="C374" s="19" t="s">
        <v>68</v>
      </c>
      <c r="D374" s="19" t="s">
        <v>72</v>
      </c>
      <c r="E374" s="16" t="s">
        <v>1438</v>
      </c>
      <c r="F374" s="18" t="s">
        <v>1439</v>
      </c>
      <c r="G374" s="16" t="s">
        <v>257</v>
      </c>
      <c r="H374" s="20" t="s">
        <v>266</v>
      </c>
      <c r="I374" s="16">
        <f t="shared" si="40"/>
        <v>65</v>
      </c>
      <c r="J374" s="16"/>
      <c r="K374" s="16">
        <v>65</v>
      </c>
      <c r="L374" s="16" t="s">
        <v>139</v>
      </c>
      <c r="M374" s="16">
        <v>110</v>
      </c>
      <c r="N374" s="16">
        <v>290</v>
      </c>
      <c r="O374" s="16">
        <v>1</v>
      </c>
      <c r="P374" s="20">
        <v>2</v>
      </c>
      <c r="Q374" s="18" t="s">
        <v>1440</v>
      </c>
      <c r="R374" s="17" t="s">
        <v>260</v>
      </c>
      <c r="S374" s="17" t="s">
        <v>941</v>
      </c>
      <c r="T374" s="17"/>
    </row>
    <row r="375" s="1" customFormat="1" ht="69.6" spans="1:20">
      <c r="A375" s="17">
        <f t="shared" si="46"/>
        <v>370</v>
      </c>
      <c r="B375" s="17" t="s">
        <v>58</v>
      </c>
      <c r="C375" s="19" t="s">
        <v>68</v>
      </c>
      <c r="D375" s="19" t="s">
        <v>72</v>
      </c>
      <c r="E375" s="16" t="s">
        <v>1441</v>
      </c>
      <c r="F375" s="18" t="s">
        <v>1442</v>
      </c>
      <c r="G375" s="16" t="s">
        <v>257</v>
      </c>
      <c r="H375" s="20" t="s">
        <v>266</v>
      </c>
      <c r="I375" s="16">
        <f t="shared" si="40"/>
        <v>75</v>
      </c>
      <c r="J375" s="16"/>
      <c r="K375" s="16">
        <v>75</v>
      </c>
      <c r="L375" s="16" t="s">
        <v>139</v>
      </c>
      <c r="M375" s="16">
        <v>63</v>
      </c>
      <c r="N375" s="16">
        <v>176</v>
      </c>
      <c r="O375" s="16">
        <v>1</v>
      </c>
      <c r="P375" s="20">
        <v>1</v>
      </c>
      <c r="Q375" s="18" t="s">
        <v>1443</v>
      </c>
      <c r="R375" s="17" t="s">
        <v>260</v>
      </c>
      <c r="S375" s="17" t="s">
        <v>941</v>
      </c>
      <c r="T375" s="17"/>
    </row>
    <row r="376" s="1" customFormat="1" ht="87" spans="1:20">
      <c r="A376" s="17">
        <f t="shared" si="46"/>
        <v>371</v>
      </c>
      <c r="B376" s="17" t="s">
        <v>58</v>
      </c>
      <c r="C376" s="19" t="s">
        <v>68</v>
      </c>
      <c r="D376" s="19" t="s">
        <v>72</v>
      </c>
      <c r="E376" s="16" t="s">
        <v>1444</v>
      </c>
      <c r="F376" s="18" t="s">
        <v>1445</v>
      </c>
      <c r="G376" s="16" t="s">
        <v>571</v>
      </c>
      <c r="H376" s="20" t="s">
        <v>711</v>
      </c>
      <c r="I376" s="16">
        <f t="shared" si="40"/>
        <v>95</v>
      </c>
      <c r="J376" s="16">
        <v>95</v>
      </c>
      <c r="K376" s="16"/>
      <c r="L376" s="16" t="s">
        <v>139</v>
      </c>
      <c r="M376" s="16">
        <v>82</v>
      </c>
      <c r="N376" s="16">
        <v>257</v>
      </c>
      <c r="O376" s="16">
        <v>2</v>
      </c>
      <c r="P376" s="20">
        <v>4</v>
      </c>
      <c r="Q376" s="18" t="s">
        <v>1446</v>
      </c>
      <c r="R376" s="17" t="s">
        <v>574</v>
      </c>
      <c r="S376" s="17" t="s">
        <v>941</v>
      </c>
      <c r="T376" s="17"/>
    </row>
    <row r="377" s="1" customFormat="1" ht="136" customHeight="1" spans="1:20">
      <c r="A377" s="17">
        <f t="shared" si="46"/>
        <v>372</v>
      </c>
      <c r="B377" s="17" t="s">
        <v>58</v>
      </c>
      <c r="C377" s="19" t="s">
        <v>68</v>
      </c>
      <c r="D377" s="19" t="s">
        <v>72</v>
      </c>
      <c r="E377" s="16" t="s">
        <v>1447</v>
      </c>
      <c r="F377" s="18" t="s">
        <v>1448</v>
      </c>
      <c r="G377" s="16" t="s">
        <v>571</v>
      </c>
      <c r="H377" s="20" t="s">
        <v>703</v>
      </c>
      <c r="I377" s="16">
        <f t="shared" si="40"/>
        <v>96</v>
      </c>
      <c r="J377" s="16">
        <v>96</v>
      </c>
      <c r="K377" s="16"/>
      <c r="L377" s="16" t="s">
        <v>139</v>
      </c>
      <c r="M377" s="16">
        <v>61</v>
      </c>
      <c r="N377" s="16">
        <v>201</v>
      </c>
      <c r="O377" s="16">
        <v>0</v>
      </c>
      <c r="P377" s="20">
        <v>0</v>
      </c>
      <c r="Q377" s="18" t="s">
        <v>1449</v>
      </c>
      <c r="R377" s="17" t="s">
        <v>941</v>
      </c>
      <c r="S377" s="17" t="s">
        <v>941</v>
      </c>
      <c r="T377" s="17"/>
    </row>
    <row r="378" s="1" customFormat="1" ht="69" customHeight="1" spans="1:20">
      <c r="A378" s="17">
        <f t="shared" ref="A378:A387" si="47">ROW()-5</f>
        <v>373</v>
      </c>
      <c r="B378" s="17" t="s">
        <v>58</v>
      </c>
      <c r="C378" s="19" t="s">
        <v>68</v>
      </c>
      <c r="D378" s="19" t="s">
        <v>72</v>
      </c>
      <c r="E378" s="16" t="s">
        <v>1450</v>
      </c>
      <c r="F378" s="18" t="s">
        <v>1451</v>
      </c>
      <c r="G378" s="16" t="s">
        <v>571</v>
      </c>
      <c r="H378" s="20" t="s">
        <v>703</v>
      </c>
      <c r="I378" s="16">
        <f t="shared" ref="I378:I386" si="48">J378+K378</f>
        <v>35</v>
      </c>
      <c r="J378" s="16">
        <v>35</v>
      </c>
      <c r="K378" s="16"/>
      <c r="L378" s="16" t="s">
        <v>139</v>
      </c>
      <c r="M378" s="16">
        <v>83</v>
      </c>
      <c r="N378" s="16">
        <v>235</v>
      </c>
      <c r="O378" s="16">
        <v>0</v>
      </c>
      <c r="P378" s="20">
        <v>0</v>
      </c>
      <c r="Q378" s="18" t="s">
        <v>1452</v>
      </c>
      <c r="R378" s="17" t="s">
        <v>941</v>
      </c>
      <c r="S378" s="17" t="s">
        <v>941</v>
      </c>
      <c r="T378" s="17"/>
    </row>
    <row r="379" s="1" customFormat="1" ht="119" customHeight="1" spans="1:20">
      <c r="A379" s="17">
        <f t="shared" si="47"/>
        <v>374</v>
      </c>
      <c r="B379" s="17" t="s">
        <v>58</v>
      </c>
      <c r="C379" s="19" t="s">
        <v>68</v>
      </c>
      <c r="D379" s="19" t="s">
        <v>72</v>
      </c>
      <c r="E379" s="16" t="s">
        <v>1453</v>
      </c>
      <c r="F379" s="18" t="s">
        <v>1454</v>
      </c>
      <c r="G379" s="16" t="s">
        <v>311</v>
      </c>
      <c r="H379" s="20" t="s">
        <v>1112</v>
      </c>
      <c r="I379" s="16">
        <f t="shared" si="48"/>
        <v>72.06</v>
      </c>
      <c r="J379" s="16">
        <v>72.06</v>
      </c>
      <c r="K379" s="16"/>
      <c r="L379" s="16" t="s">
        <v>139</v>
      </c>
      <c r="M379" s="16">
        <v>452</v>
      </c>
      <c r="N379" s="16">
        <v>1181</v>
      </c>
      <c r="O379" s="16">
        <v>23</v>
      </c>
      <c r="P379" s="20">
        <v>49</v>
      </c>
      <c r="Q379" s="18" t="s">
        <v>1455</v>
      </c>
      <c r="R379" s="17" t="s">
        <v>311</v>
      </c>
      <c r="S379" s="17" t="s">
        <v>941</v>
      </c>
      <c r="T379" s="17"/>
    </row>
    <row r="380" s="1" customFormat="1" ht="87" customHeight="1" spans="1:20">
      <c r="A380" s="17">
        <f t="shared" si="47"/>
        <v>375</v>
      </c>
      <c r="B380" s="17" t="s">
        <v>58</v>
      </c>
      <c r="C380" s="19" t="s">
        <v>68</v>
      </c>
      <c r="D380" s="19" t="s">
        <v>72</v>
      </c>
      <c r="E380" s="16" t="s">
        <v>1456</v>
      </c>
      <c r="F380" s="18" t="s">
        <v>1457</v>
      </c>
      <c r="G380" s="16" t="s">
        <v>311</v>
      </c>
      <c r="H380" s="20" t="s">
        <v>312</v>
      </c>
      <c r="I380" s="16">
        <f t="shared" si="48"/>
        <v>64.4</v>
      </c>
      <c r="J380" s="16">
        <v>64.4</v>
      </c>
      <c r="K380" s="16"/>
      <c r="L380" s="16" t="s">
        <v>139</v>
      </c>
      <c r="M380" s="16">
        <v>560</v>
      </c>
      <c r="N380" s="16">
        <v>1736</v>
      </c>
      <c r="O380" s="16">
        <v>39</v>
      </c>
      <c r="P380" s="20">
        <v>85</v>
      </c>
      <c r="Q380" s="18" t="s">
        <v>1458</v>
      </c>
      <c r="R380" s="17" t="s">
        <v>941</v>
      </c>
      <c r="S380" s="17" t="s">
        <v>941</v>
      </c>
      <c r="T380" s="17" t="s">
        <v>143</v>
      </c>
    </row>
    <row r="381" s="1" customFormat="1" ht="152" customHeight="1" spans="1:20">
      <c r="A381" s="17">
        <f t="shared" si="47"/>
        <v>376</v>
      </c>
      <c r="B381" s="17" t="s">
        <v>58</v>
      </c>
      <c r="C381" s="19" t="s">
        <v>68</v>
      </c>
      <c r="D381" s="19" t="s">
        <v>72</v>
      </c>
      <c r="E381" s="16" t="s">
        <v>1459</v>
      </c>
      <c r="F381" s="18" t="s">
        <v>1460</v>
      </c>
      <c r="G381" s="16" t="s">
        <v>316</v>
      </c>
      <c r="H381" s="20" t="s">
        <v>341</v>
      </c>
      <c r="I381" s="16">
        <f t="shared" si="48"/>
        <v>80</v>
      </c>
      <c r="J381" s="16">
        <v>80</v>
      </c>
      <c r="K381" s="16"/>
      <c r="L381" s="16" t="s">
        <v>139</v>
      </c>
      <c r="M381" s="16">
        <v>591</v>
      </c>
      <c r="N381" s="16">
        <v>1359</v>
      </c>
      <c r="O381" s="16">
        <v>21</v>
      </c>
      <c r="P381" s="20">
        <v>30</v>
      </c>
      <c r="Q381" s="18" t="s">
        <v>1461</v>
      </c>
      <c r="R381" s="17" t="s">
        <v>319</v>
      </c>
      <c r="S381" s="17" t="s">
        <v>941</v>
      </c>
      <c r="T381" s="17"/>
    </row>
    <row r="382" s="1" customFormat="1" ht="114" customHeight="1" spans="1:20">
      <c r="A382" s="17">
        <f t="shared" si="47"/>
        <v>377</v>
      </c>
      <c r="B382" s="17" t="s">
        <v>58</v>
      </c>
      <c r="C382" s="19" t="s">
        <v>68</v>
      </c>
      <c r="D382" s="19" t="s">
        <v>72</v>
      </c>
      <c r="E382" s="16" t="s">
        <v>1462</v>
      </c>
      <c r="F382" s="18" t="s">
        <v>1463</v>
      </c>
      <c r="G382" s="16" t="s">
        <v>316</v>
      </c>
      <c r="H382" s="20" t="s">
        <v>326</v>
      </c>
      <c r="I382" s="16">
        <f t="shared" si="48"/>
        <v>50</v>
      </c>
      <c r="J382" s="16"/>
      <c r="K382" s="16">
        <v>50</v>
      </c>
      <c r="L382" s="16" t="s">
        <v>139</v>
      </c>
      <c r="M382" s="16">
        <v>437</v>
      </c>
      <c r="N382" s="16">
        <v>1036</v>
      </c>
      <c r="O382" s="16">
        <v>15</v>
      </c>
      <c r="P382" s="20">
        <v>19</v>
      </c>
      <c r="Q382" s="18" t="s">
        <v>1464</v>
      </c>
      <c r="R382" s="17" t="s">
        <v>319</v>
      </c>
      <c r="S382" s="17" t="s">
        <v>941</v>
      </c>
      <c r="T382" s="17" t="s">
        <v>176</v>
      </c>
    </row>
    <row r="383" s="1" customFormat="1" ht="62" customHeight="1" spans="1:20">
      <c r="A383" s="17">
        <f t="shared" si="47"/>
        <v>378</v>
      </c>
      <c r="B383" s="17" t="s">
        <v>58</v>
      </c>
      <c r="C383" s="19" t="s">
        <v>68</v>
      </c>
      <c r="D383" s="19" t="s">
        <v>72</v>
      </c>
      <c r="E383" s="16" t="s">
        <v>1465</v>
      </c>
      <c r="F383" s="18" t="s">
        <v>1466</v>
      </c>
      <c r="G383" s="16" t="s">
        <v>362</v>
      </c>
      <c r="H383" s="20" t="s">
        <v>637</v>
      </c>
      <c r="I383" s="16">
        <f t="shared" si="48"/>
        <v>92.5</v>
      </c>
      <c r="J383" s="16">
        <v>92.5</v>
      </c>
      <c r="K383" s="16"/>
      <c r="L383" s="16" t="s">
        <v>139</v>
      </c>
      <c r="M383" s="16">
        <v>118</v>
      </c>
      <c r="N383" s="16">
        <v>305</v>
      </c>
      <c r="O383" s="16">
        <v>2</v>
      </c>
      <c r="P383" s="20">
        <v>5</v>
      </c>
      <c r="Q383" s="18" t="s">
        <v>1467</v>
      </c>
      <c r="R383" s="17" t="s">
        <v>365</v>
      </c>
      <c r="S383" s="17" t="s">
        <v>941</v>
      </c>
      <c r="T383" s="17"/>
    </row>
    <row r="384" s="1" customFormat="1" ht="66" customHeight="1" spans="1:20">
      <c r="A384" s="17">
        <f t="shared" si="47"/>
        <v>379</v>
      </c>
      <c r="B384" s="17" t="s">
        <v>58</v>
      </c>
      <c r="C384" s="19" t="s">
        <v>68</v>
      </c>
      <c r="D384" s="19" t="s">
        <v>72</v>
      </c>
      <c r="E384" s="16" t="s">
        <v>1468</v>
      </c>
      <c r="F384" s="18" t="s">
        <v>1469</v>
      </c>
      <c r="G384" s="16" t="s">
        <v>362</v>
      </c>
      <c r="H384" s="20" t="s">
        <v>637</v>
      </c>
      <c r="I384" s="16">
        <f t="shared" si="48"/>
        <v>36</v>
      </c>
      <c r="J384" s="16">
        <v>36</v>
      </c>
      <c r="K384" s="16"/>
      <c r="L384" s="16" t="s">
        <v>139</v>
      </c>
      <c r="M384" s="16">
        <v>200</v>
      </c>
      <c r="N384" s="16">
        <v>510</v>
      </c>
      <c r="O384" s="16">
        <v>9</v>
      </c>
      <c r="P384" s="20">
        <v>18</v>
      </c>
      <c r="Q384" s="18" t="s">
        <v>1470</v>
      </c>
      <c r="R384" s="17" t="s">
        <v>365</v>
      </c>
      <c r="S384" s="17" t="s">
        <v>941</v>
      </c>
      <c r="T384" s="17"/>
    </row>
    <row r="385" s="1" customFormat="1" ht="73" customHeight="1" spans="1:20">
      <c r="A385" s="17">
        <f t="shared" si="47"/>
        <v>380</v>
      </c>
      <c r="B385" s="17" t="s">
        <v>58</v>
      </c>
      <c r="C385" s="19" t="s">
        <v>68</v>
      </c>
      <c r="D385" s="19" t="s">
        <v>72</v>
      </c>
      <c r="E385" s="16" t="s">
        <v>1471</v>
      </c>
      <c r="F385" s="18" t="s">
        <v>1472</v>
      </c>
      <c r="G385" s="16" t="s">
        <v>362</v>
      </c>
      <c r="H385" s="20" t="s">
        <v>1473</v>
      </c>
      <c r="I385" s="16">
        <f t="shared" si="48"/>
        <v>36.3</v>
      </c>
      <c r="J385" s="16">
        <v>36.3</v>
      </c>
      <c r="K385" s="16"/>
      <c r="L385" s="16" t="s">
        <v>139</v>
      </c>
      <c r="M385" s="16">
        <v>349</v>
      </c>
      <c r="N385" s="16">
        <v>977</v>
      </c>
      <c r="O385" s="16">
        <v>15</v>
      </c>
      <c r="P385" s="20">
        <v>28</v>
      </c>
      <c r="Q385" s="18" t="s">
        <v>1474</v>
      </c>
      <c r="R385" s="17" t="s">
        <v>365</v>
      </c>
      <c r="S385" s="17" t="s">
        <v>941</v>
      </c>
      <c r="T385" s="17"/>
    </row>
    <row r="386" s="1" customFormat="1" ht="52.2" spans="1:20">
      <c r="A386" s="17">
        <f t="shared" si="47"/>
        <v>381</v>
      </c>
      <c r="B386" s="17" t="s">
        <v>58</v>
      </c>
      <c r="C386" s="19" t="s">
        <v>68</v>
      </c>
      <c r="D386" s="19" t="s">
        <v>72</v>
      </c>
      <c r="E386" s="16" t="s">
        <v>1475</v>
      </c>
      <c r="F386" s="18" t="s">
        <v>1476</v>
      </c>
      <c r="G386" s="16" t="s">
        <v>257</v>
      </c>
      <c r="H386" s="20" t="s">
        <v>799</v>
      </c>
      <c r="I386" s="16">
        <f t="shared" si="48"/>
        <v>29</v>
      </c>
      <c r="J386" s="16">
        <v>29</v>
      </c>
      <c r="K386" s="16"/>
      <c r="L386" s="16" t="s">
        <v>139</v>
      </c>
      <c r="M386" s="16">
        <v>42</v>
      </c>
      <c r="N386" s="16">
        <v>187</v>
      </c>
      <c r="O386" s="16">
        <v>5</v>
      </c>
      <c r="P386" s="20">
        <v>16</v>
      </c>
      <c r="Q386" s="18" t="s">
        <v>1477</v>
      </c>
      <c r="R386" s="17" t="s">
        <v>260</v>
      </c>
      <c r="S386" s="17" t="s">
        <v>941</v>
      </c>
      <c r="T386" s="17"/>
    </row>
    <row r="387" s="1" customFormat="1" ht="89" customHeight="1" spans="1:20">
      <c r="A387" s="17">
        <f t="shared" si="47"/>
        <v>382</v>
      </c>
      <c r="B387" s="17" t="s">
        <v>58</v>
      </c>
      <c r="C387" s="19" t="s">
        <v>68</v>
      </c>
      <c r="D387" s="19" t="s">
        <v>72</v>
      </c>
      <c r="E387" s="16" t="s">
        <v>1478</v>
      </c>
      <c r="F387" s="18" t="s">
        <v>1479</v>
      </c>
      <c r="G387" s="16" t="s">
        <v>316</v>
      </c>
      <c r="H387" s="20" t="s">
        <v>337</v>
      </c>
      <c r="I387" s="16">
        <f t="shared" ref="I387:I413" si="49">J387+K387</f>
        <v>50</v>
      </c>
      <c r="J387" s="16"/>
      <c r="K387" s="16">
        <v>50</v>
      </c>
      <c r="L387" s="16" t="s">
        <v>139</v>
      </c>
      <c r="M387" s="16">
        <v>1309</v>
      </c>
      <c r="N387" s="16">
        <v>3131</v>
      </c>
      <c r="O387" s="16">
        <v>31</v>
      </c>
      <c r="P387" s="20">
        <v>50</v>
      </c>
      <c r="Q387" s="18" t="s">
        <v>1480</v>
      </c>
      <c r="R387" s="17" t="s">
        <v>319</v>
      </c>
      <c r="S387" s="17" t="s">
        <v>941</v>
      </c>
      <c r="T387" s="17" t="s">
        <v>176</v>
      </c>
    </row>
    <row r="388" s="1" customFormat="1" ht="74" customHeight="1" spans="1:20">
      <c r="A388" s="17">
        <f t="shared" ref="A388:A397" si="50">ROW()-5</f>
        <v>383</v>
      </c>
      <c r="B388" s="17" t="s">
        <v>58</v>
      </c>
      <c r="C388" s="19" t="s">
        <v>68</v>
      </c>
      <c r="D388" s="19" t="s">
        <v>72</v>
      </c>
      <c r="E388" s="16" t="s">
        <v>1481</v>
      </c>
      <c r="F388" s="18" t="s">
        <v>1482</v>
      </c>
      <c r="G388" s="16" t="s">
        <v>362</v>
      </c>
      <c r="H388" s="20" t="s">
        <v>371</v>
      </c>
      <c r="I388" s="16">
        <f t="shared" si="49"/>
        <v>3</v>
      </c>
      <c r="J388" s="16">
        <v>3</v>
      </c>
      <c r="K388" s="16"/>
      <c r="L388" s="16" t="s">
        <v>139</v>
      </c>
      <c r="M388" s="16">
        <v>220</v>
      </c>
      <c r="N388" s="16">
        <v>562</v>
      </c>
      <c r="O388" s="16">
        <v>9</v>
      </c>
      <c r="P388" s="20">
        <v>11</v>
      </c>
      <c r="Q388" s="18" t="s">
        <v>1483</v>
      </c>
      <c r="R388" s="17" t="s">
        <v>365</v>
      </c>
      <c r="S388" s="17" t="s">
        <v>941</v>
      </c>
      <c r="T388" s="17" t="s">
        <v>176</v>
      </c>
    </row>
    <row r="389" s="1" customFormat="1" ht="90" customHeight="1" spans="1:20">
      <c r="A389" s="17">
        <f t="shared" si="50"/>
        <v>384</v>
      </c>
      <c r="B389" s="17" t="s">
        <v>58</v>
      </c>
      <c r="C389" s="19" t="s">
        <v>68</v>
      </c>
      <c r="D389" s="19" t="s">
        <v>72</v>
      </c>
      <c r="E389" s="16" t="s">
        <v>1484</v>
      </c>
      <c r="F389" s="18" t="s">
        <v>1485</v>
      </c>
      <c r="G389" s="16" t="s">
        <v>362</v>
      </c>
      <c r="H389" s="20" t="s">
        <v>371</v>
      </c>
      <c r="I389" s="16">
        <f t="shared" si="49"/>
        <v>11.8</v>
      </c>
      <c r="J389" s="16">
        <v>11.8</v>
      </c>
      <c r="K389" s="16"/>
      <c r="L389" s="16" t="s">
        <v>139</v>
      </c>
      <c r="M389" s="16">
        <v>220</v>
      </c>
      <c r="N389" s="16">
        <v>562</v>
      </c>
      <c r="O389" s="16">
        <v>9</v>
      </c>
      <c r="P389" s="20">
        <v>11</v>
      </c>
      <c r="Q389" s="18" t="s">
        <v>1486</v>
      </c>
      <c r="R389" s="17" t="s">
        <v>365</v>
      </c>
      <c r="S389" s="17" t="s">
        <v>941</v>
      </c>
      <c r="T389" s="17" t="s">
        <v>176</v>
      </c>
    </row>
    <row r="390" s="1" customFormat="1" ht="110" customHeight="1" spans="1:20">
      <c r="A390" s="17">
        <f t="shared" si="50"/>
        <v>385</v>
      </c>
      <c r="B390" s="17" t="s">
        <v>58</v>
      </c>
      <c r="C390" s="19" t="s">
        <v>68</v>
      </c>
      <c r="D390" s="19" t="s">
        <v>72</v>
      </c>
      <c r="E390" s="16" t="s">
        <v>1487</v>
      </c>
      <c r="F390" s="18" t="s">
        <v>1488</v>
      </c>
      <c r="G390" s="16" t="s">
        <v>362</v>
      </c>
      <c r="H390" s="20" t="s">
        <v>371</v>
      </c>
      <c r="I390" s="16">
        <f t="shared" si="49"/>
        <v>20</v>
      </c>
      <c r="J390" s="16"/>
      <c r="K390" s="16">
        <v>20</v>
      </c>
      <c r="L390" s="16" t="s">
        <v>139</v>
      </c>
      <c r="M390" s="16">
        <v>220</v>
      </c>
      <c r="N390" s="16">
        <v>562</v>
      </c>
      <c r="O390" s="16">
        <v>9</v>
      </c>
      <c r="P390" s="20">
        <v>11</v>
      </c>
      <c r="Q390" s="18" t="s">
        <v>1486</v>
      </c>
      <c r="R390" s="17" t="s">
        <v>365</v>
      </c>
      <c r="S390" s="17" t="s">
        <v>941</v>
      </c>
      <c r="T390" s="17" t="s">
        <v>176</v>
      </c>
    </row>
    <row r="391" ht="216" customHeight="1" spans="1:20">
      <c r="A391" s="17">
        <f t="shared" si="50"/>
        <v>386</v>
      </c>
      <c r="B391" s="16" t="s">
        <v>58</v>
      </c>
      <c r="C391" s="16" t="s">
        <v>68</v>
      </c>
      <c r="D391" s="16" t="s">
        <v>72</v>
      </c>
      <c r="E391" s="16" t="s">
        <v>1489</v>
      </c>
      <c r="F391" s="18" t="s">
        <v>1490</v>
      </c>
      <c r="G391" s="16" t="s">
        <v>362</v>
      </c>
      <c r="H391" s="16" t="s">
        <v>371</v>
      </c>
      <c r="I391" s="16">
        <f t="shared" si="49"/>
        <v>46</v>
      </c>
      <c r="J391" s="16">
        <v>46</v>
      </c>
      <c r="K391" s="16"/>
      <c r="L391" s="16" t="s">
        <v>139</v>
      </c>
      <c r="M391" s="16">
        <v>220</v>
      </c>
      <c r="N391" s="16">
        <v>562</v>
      </c>
      <c r="O391" s="16">
        <v>9</v>
      </c>
      <c r="P391" s="16">
        <v>11</v>
      </c>
      <c r="Q391" s="18" t="s">
        <v>1491</v>
      </c>
      <c r="R391" s="16" t="s">
        <v>365</v>
      </c>
      <c r="S391" s="16" t="s">
        <v>941</v>
      </c>
      <c r="T391" s="17" t="s">
        <v>176</v>
      </c>
    </row>
    <row r="392" ht="92" customHeight="1" spans="1:20">
      <c r="A392" s="17">
        <f t="shared" si="50"/>
        <v>387</v>
      </c>
      <c r="B392" s="16" t="s">
        <v>58</v>
      </c>
      <c r="C392" s="16" t="s">
        <v>68</v>
      </c>
      <c r="D392" s="16" t="s">
        <v>72</v>
      </c>
      <c r="E392" s="16" t="s">
        <v>1492</v>
      </c>
      <c r="F392" s="37" t="s">
        <v>1493</v>
      </c>
      <c r="G392" s="38" t="s">
        <v>168</v>
      </c>
      <c r="H392" s="38" t="s">
        <v>1069</v>
      </c>
      <c r="I392" s="16">
        <f t="shared" si="49"/>
        <v>50</v>
      </c>
      <c r="J392" s="38">
        <v>50</v>
      </c>
      <c r="K392" s="16"/>
      <c r="L392" s="38" t="s">
        <v>139</v>
      </c>
      <c r="M392" s="16">
        <v>435</v>
      </c>
      <c r="N392" s="16">
        <v>1092</v>
      </c>
      <c r="O392" s="16">
        <v>12</v>
      </c>
      <c r="P392" s="16">
        <v>16</v>
      </c>
      <c r="Q392" s="37" t="s">
        <v>1494</v>
      </c>
      <c r="R392" s="38" t="s">
        <v>455</v>
      </c>
      <c r="S392" s="38" t="s">
        <v>941</v>
      </c>
      <c r="T392" s="17"/>
    </row>
    <row r="393" ht="114" customHeight="1" spans="1:20">
      <c r="A393" s="17">
        <f t="shared" si="50"/>
        <v>388</v>
      </c>
      <c r="B393" s="17" t="s">
        <v>58</v>
      </c>
      <c r="C393" s="19" t="s">
        <v>68</v>
      </c>
      <c r="D393" s="19" t="s">
        <v>72</v>
      </c>
      <c r="E393" s="17" t="s">
        <v>1495</v>
      </c>
      <c r="F393" s="21" t="s">
        <v>1496</v>
      </c>
      <c r="G393" s="17" t="s">
        <v>591</v>
      </c>
      <c r="H393" s="17" t="s">
        <v>1080</v>
      </c>
      <c r="I393" s="16">
        <f t="shared" si="49"/>
        <v>70</v>
      </c>
      <c r="J393" s="17">
        <v>70</v>
      </c>
      <c r="K393" s="17"/>
      <c r="L393" s="17" t="s">
        <v>139</v>
      </c>
      <c r="M393" s="17">
        <v>108</v>
      </c>
      <c r="N393" s="17">
        <v>334</v>
      </c>
      <c r="O393" s="17">
        <v>5</v>
      </c>
      <c r="P393" s="17">
        <v>10</v>
      </c>
      <c r="Q393" s="21" t="s">
        <v>1497</v>
      </c>
      <c r="R393" s="17" t="s">
        <v>594</v>
      </c>
      <c r="S393" s="17" t="s">
        <v>941</v>
      </c>
      <c r="T393" s="17"/>
    </row>
    <row r="394" ht="87" spans="1:20">
      <c r="A394" s="17">
        <f t="shared" si="50"/>
        <v>389</v>
      </c>
      <c r="B394" s="17" t="s">
        <v>58</v>
      </c>
      <c r="C394" s="19" t="s">
        <v>68</v>
      </c>
      <c r="D394" s="19" t="s">
        <v>72</v>
      </c>
      <c r="E394" s="17" t="s">
        <v>1498</v>
      </c>
      <c r="F394" s="21" t="s">
        <v>1499</v>
      </c>
      <c r="G394" s="17" t="s">
        <v>591</v>
      </c>
      <c r="H394" s="17" t="s">
        <v>1080</v>
      </c>
      <c r="I394" s="16">
        <f t="shared" si="49"/>
        <v>70</v>
      </c>
      <c r="J394" s="17">
        <v>70</v>
      </c>
      <c r="K394" s="17"/>
      <c r="L394" s="17" t="s">
        <v>139</v>
      </c>
      <c r="M394" s="17">
        <v>92</v>
      </c>
      <c r="N394" s="17">
        <v>272</v>
      </c>
      <c r="O394" s="17">
        <v>1</v>
      </c>
      <c r="P394" s="17">
        <v>3</v>
      </c>
      <c r="Q394" s="21" t="s">
        <v>1500</v>
      </c>
      <c r="R394" s="17" t="s">
        <v>594</v>
      </c>
      <c r="S394" s="17" t="s">
        <v>941</v>
      </c>
      <c r="T394" s="17"/>
    </row>
    <row r="395" ht="100" customHeight="1" spans="1:20">
      <c r="A395" s="17">
        <f t="shared" si="50"/>
        <v>390</v>
      </c>
      <c r="B395" s="17" t="s">
        <v>58</v>
      </c>
      <c r="C395" s="17" t="s">
        <v>68</v>
      </c>
      <c r="D395" s="17" t="s">
        <v>72</v>
      </c>
      <c r="E395" s="17" t="s">
        <v>1501</v>
      </c>
      <c r="F395" s="35" t="s">
        <v>1502</v>
      </c>
      <c r="G395" s="32" t="s">
        <v>168</v>
      </c>
      <c r="H395" s="32" t="s">
        <v>1055</v>
      </c>
      <c r="I395" s="16">
        <f t="shared" si="49"/>
        <v>30</v>
      </c>
      <c r="J395" s="32">
        <v>30</v>
      </c>
      <c r="K395" s="32"/>
      <c r="L395" s="32" t="s">
        <v>139</v>
      </c>
      <c r="M395" s="17">
        <v>106</v>
      </c>
      <c r="N395" s="17">
        <v>290</v>
      </c>
      <c r="O395" s="17">
        <v>5</v>
      </c>
      <c r="P395" s="17">
        <v>7</v>
      </c>
      <c r="Q395" s="35" t="s">
        <v>1503</v>
      </c>
      <c r="R395" s="32" t="s">
        <v>455</v>
      </c>
      <c r="S395" s="32" t="s">
        <v>941</v>
      </c>
      <c r="T395" s="17"/>
    </row>
    <row r="396" ht="69.6" spans="1:20">
      <c r="A396" s="17">
        <f t="shared" si="50"/>
        <v>391</v>
      </c>
      <c r="B396" s="17" t="s">
        <v>58</v>
      </c>
      <c r="C396" s="19" t="s">
        <v>68</v>
      </c>
      <c r="D396" s="19" t="s">
        <v>72</v>
      </c>
      <c r="E396" s="17" t="s">
        <v>1504</v>
      </c>
      <c r="F396" s="21" t="s">
        <v>1505</v>
      </c>
      <c r="G396" s="17" t="s">
        <v>362</v>
      </c>
      <c r="H396" s="17" t="s">
        <v>767</v>
      </c>
      <c r="I396" s="16">
        <f t="shared" si="49"/>
        <v>35</v>
      </c>
      <c r="J396" s="17">
        <v>35</v>
      </c>
      <c r="K396" s="17"/>
      <c r="L396" s="17" t="s">
        <v>139</v>
      </c>
      <c r="M396" s="17">
        <v>45</v>
      </c>
      <c r="N396" s="17">
        <v>128</v>
      </c>
      <c r="O396" s="17">
        <v>0</v>
      </c>
      <c r="P396" s="17">
        <v>0</v>
      </c>
      <c r="Q396" s="21" t="s">
        <v>1506</v>
      </c>
      <c r="R396" s="17" t="s">
        <v>365</v>
      </c>
      <c r="S396" s="17" t="s">
        <v>941</v>
      </c>
      <c r="T396" s="17"/>
    </row>
    <row r="397" ht="52.2" spans="1:20">
      <c r="A397" s="17">
        <f t="shared" si="50"/>
        <v>392</v>
      </c>
      <c r="B397" s="17" t="s">
        <v>58</v>
      </c>
      <c r="C397" s="19" t="s">
        <v>68</v>
      </c>
      <c r="D397" s="19" t="s">
        <v>72</v>
      </c>
      <c r="E397" s="17" t="s">
        <v>1507</v>
      </c>
      <c r="F397" s="21" t="s">
        <v>1508</v>
      </c>
      <c r="G397" s="17" t="s">
        <v>362</v>
      </c>
      <c r="H397" s="17" t="s">
        <v>767</v>
      </c>
      <c r="I397" s="16">
        <f t="shared" si="49"/>
        <v>16</v>
      </c>
      <c r="J397" s="17">
        <v>16</v>
      </c>
      <c r="K397" s="17"/>
      <c r="L397" s="17" t="s">
        <v>139</v>
      </c>
      <c r="M397" s="17">
        <v>45</v>
      </c>
      <c r="N397" s="17">
        <v>128</v>
      </c>
      <c r="O397" s="17">
        <v>0</v>
      </c>
      <c r="P397" s="17">
        <v>0</v>
      </c>
      <c r="Q397" s="21" t="s">
        <v>1509</v>
      </c>
      <c r="R397" s="17" t="s">
        <v>365</v>
      </c>
      <c r="S397" s="17" t="s">
        <v>941</v>
      </c>
      <c r="T397" s="17"/>
    </row>
    <row r="398" ht="103" customHeight="1" spans="1:20">
      <c r="A398" s="17">
        <f t="shared" ref="A398:A412" si="51">ROW()-5</f>
        <v>393</v>
      </c>
      <c r="B398" s="17" t="s">
        <v>58</v>
      </c>
      <c r="C398" s="17" t="s">
        <v>68</v>
      </c>
      <c r="D398" s="17" t="s">
        <v>72</v>
      </c>
      <c r="E398" s="17" t="s">
        <v>1510</v>
      </c>
      <c r="F398" s="21" t="s">
        <v>1511</v>
      </c>
      <c r="G398" s="17" t="s">
        <v>571</v>
      </c>
      <c r="H398" s="17" t="s">
        <v>719</v>
      </c>
      <c r="I398" s="16">
        <f t="shared" si="49"/>
        <v>50</v>
      </c>
      <c r="J398" s="17"/>
      <c r="K398" s="17">
        <v>50</v>
      </c>
      <c r="L398" s="17" t="s">
        <v>139</v>
      </c>
      <c r="M398" s="17">
        <v>565</v>
      </c>
      <c r="N398" s="17">
        <v>1738</v>
      </c>
      <c r="O398" s="17">
        <v>6</v>
      </c>
      <c r="P398" s="17">
        <v>6</v>
      </c>
      <c r="Q398" s="21" t="s">
        <v>1512</v>
      </c>
      <c r="R398" s="17" t="s">
        <v>574</v>
      </c>
      <c r="S398" s="17" t="s">
        <v>941</v>
      </c>
      <c r="T398" s="17" t="s">
        <v>176</v>
      </c>
    </row>
    <row r="399" ht="68" customHeight="1" spans="1:20">
      <c r="A399" s="17">
        <f t="shared" si="51"/>
        <v>394</v>
      </c>
      <c r="B399" s="17" t="s">
        <v>58</v>
      </c>
      <c r="C399" s="17" t="s">
        <v>68</v>
      </c>
      <c r="D399" s="17" t="s">
        <v>72</v>
      </c>
      <c r="E399" s="17" t="s">
        <v>1513</v>
      </c>
      <c r="F399" s="21" t="s">
        <v>1514</v>
      </c>
      <c r="G399" s="17" t="s">
        <v>257</v>
      </c>
      <c r="H399" s="17" t="s">
        <v>799</v>
      </c>
      <c r="I399" s="16">
        <f t="shared" si="49"/>
        <v>15</v>
      </c>
      <c r="J399" s="17">
        <v>15</v>
      </c>
      <c r="K399" s="17"/>
      <c r="L399" s="17" t="s">
        <v>139</v>
      </c>
      <c r="M399" s="17">
        <v>395</v>
      </c>
      <c r="N399" s="17">
        <v>1268</v>
      </c>
      <c r="O399" s="17">
        <v>6</v>
      </c>
      <c r="P399" s="17">
        <v>9</v>
      </c>
      <c r="Q399" s="21" t="s">
        <v>1515</v>
      </c>
      <c r="R399" s="17" t="s">
        <v>260</v>
      </c>
      <c r="S399" s="17" t="s">
        <v>941</v>
      </c>
      <c r="T399" s="17"/>
    </row>
    <row r="400" ht="87" customHeight="1" spans="1:20">
      <c r="A400" s="17">
        <f t="shared" si="51"/>
        <v>395</v>
      </c>
      <c r="B400" s="17" t="s">
        <v>58</v>
      </c>
      <c r="C400" s="17" t="s">
        <v>68</v>
      </c>
      <c r="D400" s="17" t="s">
        <v>72</v>
      </c>
      <c r="E400" s="17" t="s">
        <v>1516</v>
      </c>
      <c r="F400" s="21" t="s">
        <v>1517</v>
      </c>
      <c r="G400" s="17" t="s">
        <v>257</v>
      </c>
      <c r="H400" s="17" t="s">
        <v>799</v>
      </c>
      <c r="I400" s="16">
        <f t="shared" si="49"/>
        <v>50</v>
      </c>
      <c r="J400" s="17"/>
      <c r="K400" s="17">
        <v>50</v>
      </c>
      <c r="L400" s="17" t="s">
        <v>139</v>
      </c>
      <c r="M400" s="17">
        <v>395</v>
      </c>
      <c r="N400" s="17">
        <v>1268</v>
      </c>
      <c r="O400" s="17">
        <v>6</v>
      </c>
      <c r="P400" s="17">
        <v>9</v>
      </c>
      <c r="Q400" s="21" t="s">
        <v>1518</v>
      </c>
      <c r="R400" s="17" t="s">
        <v>260</v>
      </c>
      <c r="S400" s="17" t="s">
        <v>941</v>
      </c>
      <c r="T400" s="17"/>
    </row>
    <row r="401" ht="76" customHeight="1" spans="1:20">
      <c r="A401" s="17">
        <f t="shared" si="51"/>
        <v>396</v>
      </c>
      <c r="B401" s="17" t="s">
        <v>58</v>
      </c>
      <c r="C401" s="17" t="s">
        <v>68</v>
      </c>
      <c r="D401" s="17" t="s">
        <v>72</v>
      </c>
      <c r="E401" s="17" t="s">
        <v>1519</v>
      </c>
      <c r="F401" s="21" t="s">
        <v>1520</v>
      </c>
      <c r="G401" s="17" t="s">
        <v>257</v>
      </c>
      <c r="H401" s="17" t="s">
        <v>819</v>
      </c>
      <c r="I401" s="16">
        <f t="shared" si="49"/>
        <v>16</v>
      </c>
      <c r="J401" s="17"/>
      <c r="K401" s="17">
        <v>16</v>
      </c>
      <c r="L401" s="17" t="s">
        <v>139</v>
      </c>
      <c r="M401" s="17">
        <v>573</v>
      </c>
      <c r="N401" s="17">
        <v>1605</v>
      </c>
      <c r="O401" s="17">
        <v>24</v>
      </c>
      <c r="P401" s="17">
        <v>46</v>
      </c>
      <c r="Q401" s="21" t="s">
        <v>1521</v>
      </c>
      <c r="R401" s="17" t="s">
        <v>260</v>
      </c>
      <c r="S401" s="17" t="s">
        <v>941</v>
      </c>
      <c r="T401" s="17"/>
    </row>
    <row r="402" ht="128" customHeight="1" spans="1:20">
      <c r="A402" s="17">
        <f t="shared" si="51"/>
        <v>397</v>
      </c>
      <c r="B402" s="17" t="s">
        <v>58</v>
      </c>
      <c r="C402" s="17" t="s">
        <v>68</v>
      </c>
      <c r="D402" s="17" t="s">
        <v>72</v>
      </c>
      <c r="E402" s="17" t="s">
        <v>1522</v>
      </c>
      <c r="F402" s="21" t="s">
        <v>1523</v>
      </c>
      <c r="G402" s="17" t="s">
        <v>173</v>
      </c>
      <c r="H402" s="17" t="s">
        <v>179</v>
      </c>
      <c r="I402" s="16">
        <f t="shared" si="49"/>
        <v>200</v>
      </c>
      <c r="J402" s="17"/>
      <c r="K402" s="17">
        <v>200</v>
      </c>
      <c r="L402" s="17" t="s">
        <v>139</v>
      </c>
      <c r="M402" s="17">
        <v>403</v>
      </c>
      <c r="N402" s="17">
        <v>1036</v>
      </c>
      <c r="O402" s="17">
        <v>13</v>
      </c>
      <c r="P402" s="17">
        <v>23</v>
      </c>
      <c r="Q402" s="21" t="s">
        <v>1524</v>
      </c>
      <c r="R402" s="17" t="s">
        <v>173</v>
      </c>
      <c r="S402" s="17" t="s">
        <v>941</v>
      </c>
      <c r="T402" s="17"/>
    </row>
    <row r="403" ht="106" customHeight="1" spans="1:20">
      <c r="A403" s="17">
        <f t="shared" si="51"/>
        <v>398</v>
      </c>
      <c r="B403" s="17" t="s">
        <v>58</v>
      </c>
      <c r="C403" s="17" t="s">
        <v>68</v>
      </c>
      <c r="D403" s="17" t="s">
        <v>72</v>
      </c>
      <c r="E403" s="17" t="s">
        <v>1525</v>
      </c>
      <c r="F403" s="21" t="s">
        <v>1526</v>
      </c>
      <c r="G403" s="17" t="s">
        <v>173</v>
      </c>
      <c r="H403" s="17" t="s">
        <v>1164</v>
      </c>
      <c r="I403" s="16">
        <f t="shared" si="49"/>
        <v>98</v>
      </c>
      <c r="J403" s="17">
        <v>98</v>
      </c>
      <c r="K403" s="17"/>
      <c r="L403" s="17" t="s">
        <v>139</v>
      </c>
      <c r="M403" s="17">
        <v>445</v>
      </c>
      <c r="N403" s="17">
        <v>1312</v>
      </c>
      <c r="O403" s="17">
        <v>30</v>
      </c>
      <c r="P403" s="17">
        <v>57</v>
      </c>
      <c r="Q403" s="21" t="s">
        <v>1165</v>
      </c>
      <c r="R403" s="17" t="s">
        <v>941</v>
      </c>
      <c r="S403" s="17" t="s">
        <v>941</v>
      </c>
      <c r="T403" s="17"/>
    </row>
    <row r="404" ht="82" customHeight="1" spans="1:20">
      <c r="A404" s="17">
        <f t="shared" si="51"/>
        <v>399</v>
      </c>
      <c r="B404" s="17" t="s">
        <v>58</v>
      </c>
      <c r="C404" s="19" t="s">
        <v>68</v>
      </c>
      <c r="D404" s="19" t="s">
        <v>72</v>
      </c>
      <c r="E404" s="17" t="s">
        <v>1527</v>
      </c>
      <c r="F404" s="21" t="s">
        <v>1528</v>
      </c>
      <c r="G404" s="17" t="s">
        <v>232</v>
      </c>
      <c r="H404" s="19" t="s">
        <v>476</v>
      </c>
      <c r="I404" s="16">
        <f t="shared" si="49"/>
        <v>30</v>
      </c>
      <c r="J404" s="17">
        <v>30</v>
      </c>
      <c r="K404" s="17"/>
      <c r="L404" s="17" t="s">
        <v>139</v>
      </c>
      <c r="M404" s="17">
        <v>486</v>
      </c>
      <c r="N404" s="17">
        <v>1436</v>
      </c>
      <c r="O404" s="17">
        <v>21</v>
      </c>
      <c r="P404" s="19">
        <v>44</v>
      </c>
      <c r="Q404" s="21" t="s">
        <v>1529</v>
      </c>
      <c r="R404" s="17" t="s">
        <v>240</v>
      </c>
      <c r="S404" s="17" t="s">
        <v>941</v>
      </c>
      <c r="T404" s="17"/>
    </row>
    <row r="405" ht="87" customHeight="1" spans="1:20">
      <c r="A405" s="17">
        <f t="shared" si="51"/>
        <v>400</v>
      </c>
      <c r="B405" s="17" t="s">
        <v>58</v>
      </c>
      <c r="C405" s="19" t="s">
        <v>68</v>
      </c>
      <c r="D405" s="17" t="s">
        <v>72</v>
      </c>
      <c r="E405" s="17" t="s">
        <v>1530</v>
      </c>
      <c r="F405" s="21" t="s">
        <v>1531</v>
      </c>
      <c r="G405" s="17" t="s">
        <v>285</v>
      </c>
      <c r="H405" s="17" t="s">
        <v>307</v>
      </c>
      <c r="I405" s="16">
        <f t="shared" si="49"/>
        <v>29.52</v>
      </c>
      <c r="J405" s="17">
        <v>29.52</v>
      </c>
      <c r="K405" s="17"/>
      <c r="L405" s="17" t="s">
        <v>139</v>
      </c>
      <c r="M405" s="17">
        <v>427</v>
      </c>
      <c r="N405" s="17">
        <v>1044</v>
      </c>
      <c r="O405" s="17">
        <v>7</v>
      </c>
      <c r="P405" s="17">
        <v>14</v>
      </c>
      <c r="Q405" s="21" t="s">
        <v>1532</v>
      </c>
      <c r="R405" s="17" t="s">
        <v>288</v>
      </c>
      <c r="S405" s="17" t="s">
        <v>941</v>
      </c>
      <c r="T405" s="17" t="s">
        <v>176</v>
      </c>
    </row>
    <row r="406" s="4" customFormat="1" ht="76" customHeight="1" spans="1:20">
      <c r="A406" s="17">
        <f t="shared" si="51"/>
        <v>401</v>
      </c>
      <c r="B406" s="17" t="s">
        <v>58</v>
      </c>
      <c r="C406" s="17" t="s">
        <v>68</v>
      </c>
      <c r="D406" s="17" t="s">
        <v>72</v>
      </c>
      <c r="E406" s="17" t="s">
        <v>1533</v>
      </c>
      <c r="F406" s="21" t="s">
        <v>1534</v>
      </c>
      <c r="G406" s="34" t="s">
        <v>429</v>
      </c>
      <c r="H406" s="34" t="s">
        <v>1535</v>
      </c>
      <c r="I406" s="16">
        <f t="shared" si="49"/>
        <v>26</v>
      </c>
      <c r="J406" s="34">
        <v>26</v>
      </c>
      <c r="K406" s="34"/>
      <c r="L406" s="34" t="s">
        <v>139</v>
      </c>
      <c r="M406" s="34">
        <v>73</v>
      </c>
      <c r="N406" s="34">
        <v>223</v>
      </c>
      <c r="O406" s="34"/>
      <c r="P406" s="34"/>
      <c r="Q406" s="21" t="s">
        <v>1536</v>
      </c>
      <c r="R406" s="17" t="s">
        <v>432</v>
      </c>
      <c r="S406" s="17" t="s">
        <v>941</v>
      </c>
      <c r="T406" s="17"/>
    </row>
    <row r="407" ht="113" customHeight="1" spans="1:20">
      <c r="A407" s="17">
        <f t="shared" si="51"/>
        <v>402</v>
      </c>
      <c r="B407" s="17" t="s">
        <v>58</v>
      </c>
      <c r="C407" s="17" t="s">
        <v>68</v>
      </c>
      <c r="D407" s="17" t="s">
        <v>72</v>
      </c>
      <c r="E407" s="17" t="s">
        <v>1537</v>
      </c>
      <c r="F407" s="21" t="s">
        <v>1538</v>
      </c>
      <c r="G407" s="17" t="s">
        <v>362</v>
      </c>
      <c r="H407" s="17" t="s">
        <v>597</v>
      </c>
      <c r="I407" s="16">
        <f t="shared" si="49"/>
        <v>50</v>
      </c>
      <c r="J407" s="16"/>
      <c r="K407" s="16">
        <v>50</v>
      </c>
      <c r="L407" s="17" t="s">
        <v>139</v>
      </c>
      <c r="M407" s="17">
        <v>342</v>
      </c>
      <c r="N407" s="17">
        <v>969</v>
      </c>
      <c r="O407" s="17">
        <v>13</v>
      </c>
      <c r="P407" s="17">
        <v>22</v>
      </c>
      <c r="Q407" s="17" t="s">
        <v>1539</v>
      </c>
      <c r="R407" s="17" t="s">
        <v>365</v>
      </c>
      <c r="S407" s="17" t="s">
        <v>941</v>
      </c>
      <c r="T407" s="17" t="s">
        <v>176</v>
      </c>
    </row>
    <row r="408" customFormat="1" ht="113" customHeight="1" spans="1:20">
      <c r="A408" s="17">
        <f t="shared" si="51"/>
        <v>403</v>
      </c>
      <c r="B408" s="27" t="s">
        <v>58</v>
      </c>
      <c r="C408" s="27" t="s">
        <v>68</v>
      </c>
      <c r="D408" s="27" t="s">
        <v>72</v>
      </c>
      <c r="E408" s="27" t="s">
        <v>1540</v>
      </c>
      <c r="F408" s="28" t="s">
        <v>1541</v>
      </c>
      <c r="G408" s="27" t="s">
        <v>173</v>
      </c>
      <c r="H408" s="27" t="s">
        <v>174</v>
      </c>
      <c r="I408" s="16">
        <f t="shared" ref="I408:I413" si="52">J408+K408</f>
        <v>95</v>
      </c>
      <c r="J408" s="27">
        <v>95</v>
      </c>
      <c r="K408" s="27"/>
      <c r="L408" s="27"/>
      <c r="M408" s="17">
        <v>443</v>
      </c>
      <c r="N408" s="17">
        <v>1123</v>
      </c>
      <c r="O408" s="17">
        <v>9</v>
      </c>
      <c r="P408" s="17">
        <v>18</v>
      </c>
      <c r="Q408" s="17" t="s">
        <v>1542</v>
      </c>
      <c r="R408" s="17" t="s">
        <v>173</v>
      </c>
      <c r="S408" s="28" t="s">
        <v>941</v>
      </c>
      <c r="T408" s="17" t="s">
        <v>176</v>
      </c>
    </row>
    <row r="409" customFormat="1" ht="113" customHeight="1" spans="1:20">
      <c r="A409" s="17">
        <f t="shared" si="51"/>
        <v>404</v>
      </c>
      <c r="B409" s="27" t="s">
        <v>58</v>
      </c>
      <c r="C409" s="27" t="s">
        <v>68</v>
      </c>
      <c r="D409" s="27" t="s">
        <v>72</v>
      </c>
      <c r="E409" s="27" t="s">
        <v>1543</v>
      </c>
      <c r="F409" s="28" t="s">
        <v>1544</v>
      </c>
      <c r="G409" s="27" t="s">
        <v>173</v>
      </c>
      <c r="H409" s="27" t="s">
        <v>174</v>
      </c>
      <c r="I409" s="16">
        <f t="shared" si="52"/>
        <v>41.25</v>
      </c>
      <c r="J409" s="27">
        <v>41.25</v>
      </c>
      <c r="K409" s="27"/>
      <c r="L409" s="27"/>
      <c r="M409" s="17">
        <v>443</v>
      </c>
      <c r="N409" s="17">
        <v>1123</v>
      </c>
      <c r="O409" s="17">
        <v>9</v>
      </c>
      <c r="P409" s="17">
        <v>18</v>
      </c>
      <c r="Q409" s="17" t="s">
        <v>1542</v>
      </c>
      <c r="R409" s="17" t="s">
        <v>173</v>
      </c>
      <c r="S409" s="28" t="s">
        <v>941</v>
      </c>
      <c r="T409" s="17" t="s">
        <v>176</v>
      </c>
    </row>
    <row r="410" customFormat="1" ht="113" customHeight="1" spans="1:20">
      <c r="A410" s="17">
        <f t="shared" si="51"/>
        <v>405</v>
      </c>
      <c r="B410" s="27" t="s">
        <v>58</v>
      </c>
      <c r="C410" s="27" t="s">
        <v>68</v>
      </c>
      <c r="D410" s="27" t="s">
        <v>72</v>
      </c>
      <c r="E410" s="27" t="s">
        <v>1545</v>
      </c>
      <c r="F410" s="28" t="s">
        <v>1546</v>
      </c>
      <c r="G410" s="27" t="s">
        <v>173</v>
      </c>
      <c r="H410" s="27" t="s">
        <v>174</v>
      </c>
      <c r="I410" s="16">
        <f t="shared" si="52"/>
        <v>30</v>
      </c>
      <c r="J410" s="27"/>
      <c r="K410" s="27">
        <v>30</v>
      </c>
      <c r="L410" s="27"/>
      <c r="M410" s="17">
        <v>443</v>
      </c>
      <c r="N410" s="17">
        <v>1123</v>
      </c>
      <c r="O410" s="17">
        <v>9</v>
      </c>
      <c r="P410" s="17">
        <v>18</v>
      </c>
      <c r="Q410" s="17" t="s">
        <v>1547</v>
      </c>
      <c r="R410" s="17" t="s">
        <v>173</v>
      </c>
      <c r="S410" s="28" t="s">
        <v>941</v>
      </c>
      <c r="T410" s="17" t="s">
        <v>176</v>
      </c>
    </row>
    <row r="411" customFormat="1" ht="113" customHeight="1" spans="1:20">
      <c r="A411" s="17">
        <f t="shared" si="51"/>
        <v>406</v>
      </c>
      <c r="B411" s="17" t="s">
        <v>58</v>
      </c>
      <c r="C411" s="17" t="s">
        <v>68</v>
      </c>
      <c r="D411" s="17" t="s">
        <v>72</v>
      </c>
      <c r="E411" s="39" t="s">
        <v>1548</v>
      </c>
      <c r="F411" s="21" t="s">
        <v>1549</v>
      </c>
      <c r="G411" s="17" t="s">
        <v>362</v>
      </c>
      <c r="H411" s="17" t="s">
        <v>371</v>
      </c>
      <c r="I411" s="16">
        <f t="shared" si="52"/>
        <v>40</v>
      </c>
      <c r="J411" s="17"/>
      <c r="K411" s="17">
        <v>40</v>
      </c>
      <c r="L411" s="17" t="s">
        <v>139</v>
      </c>
      <c r="M411" s="17">
        <v>220</v>
      </c>
      <c r="N411" s="17">
        <v>562</v>
      </c>
      <c r="O411" s="17">
        <v>9</v>
      </c>
      <c r="P411" s="17">
        <v>11</v>
      </c>
      <c r="Q411" s="21" t="s">
        <v>1550</v>
      </c>
      <c r="R411" s="17" t="s">
        <v>365</v>
      </c>
      <c r="S411" s="17" t="s">
        <v>941</v>
      </c>
      <c r="T411" s="17" t="s">
        <v>176</v>
      </c>
    </row>
    <row r="412" customFormat="1" ht="113" customHeight="1" spans="1:20">
      <c r="A412" s="17">
        <f t="shared" si="51"/>
        <v>407</v>
      </c>
      <c r="B412" s="17" t="s">
        <v>58</v>
      </c>
      <c r="C412" s="17" t="s">
        <v>68</v>
      </c>
      <c r="D412" s="17" t="s">
        <v>72</v>
      </c>
      <c r="E412" s="40" t="s">
        <v>1551</v>
      </c>
      <c r="F412" s="21" t="s">
        <v>1552</v>
      </c>
      <c r="G412" s="17" t="s">
        <v>362</v>
      </c>
      <c r="H412" s="17" t="s">
        <v>371</v>
      </c>
      <c r="I412" s="16">
        <f t="shared" si="52"/>
        <v>80</v>
      </c>
      <c r="J412" s="41"/>
      <c r="K412" s="41">
        <v>80</v>
      </c>
      <c r="L412" s="17" t="s">
        <v>139</v>
      </c>
      <c r="M412" s="17">
        <v>220</v>
      </c>
      <c r="N412" s="17">
        <v>562</v>
      </c>
      <c r="O412" s="17">
        <v>9</v>
      </c>
      <c r="P412" s="17">
        <v>11</v>
      </c>
      <c r="Q412" s="21" t="s">
        <v>1550</v>
      </c>
      <c r="R412" s="17" t="s">
        <v>365</v>
      </c>
      <c r="S412" s="17" t="s">
        <v>941</v>
      </c>
      <c r="T412" s="17" t="s">
        <v>176</v>
      </c>
    </row>
    <row r="413" s="1" customFormat="1" ht="52.2" spans="1:20">
      <c r="A413" s="17">
        <f t="shared" ref="A413:A419" si="53">ROW()-5</f>
        <v>408</v>
      </c>
      <c r="B413" s="17" t="s">
        <v>58</v>
      </c>
      <c r="C413" s="19" t="s">
        <v>73</v>
      </c>
      <c r="D413" s="19" t="s">
        <v>77</v>
      </c>
      <c r="E413" s="16" t="s">
        <v>1553</v>
      </c>
      <c r="F413" s="18" t="s">
        <v>1554</v>
      </c>
      <c r="G413" s="16" t="s">
        <v>285</v>
      </c>
      <c r="H413" s="20" t="s">
        <v>307</v>
      </c>
      <c r="I413" s="16">
        <f t="shared" si="52"/>
        <v>50</v>
      </c>
      <c r="J413" s="16"/>
      <c r="K413" s="16">
        <v>50</v>
      </c>
      <c r="L413" s="16" t="s">
        <v>139</v>
      </c>
      <c r="M413" s="16">
        <v>427</v>
      </c>
      <c r="N413" s="16">
        <v>1044</v>
      </c>
      <c r="O413" s="16">
        <v>7</v>
      </c>
      <c r="P413" s="20">
        <v>14</v>
      </c>
      <c r="Q413" s="18" t="s">
        <v>1555</v>
      </c>
      <c r="R413" s="17" t="s">
        <v>288</v>
      </c>
      <c r="S413" s="17" t="s">
        <v>941</v>
      </c>
      <c r="T413" s="17" t="s">
        <v>176</v>
      </c>
    </row>
    <row r="414" s="1" customFormat="1" ht="69.6" spans="1:20">
      <c r="A414" s="17">
        <f t="shared" si="53"/>
        <v>409</v>
      </c>
      <c r="B414" s="17" t="s">
        <v>58</v>
      </c>
      <c r="C414" s="19" t="s">
        <v>73</v>
      </c>
      <c r="D414" s="19" t="s">
        <v>77</v>
      </c>
      <c r="E414" s="16" t="s">
        <v>1556</v>
      </c>
      <c r="F414" s="18" t="s">
        <v>1557</v>
      </c>
      <c r="G414" s="16" t="s">
        <v>316</v>
      </c>
      <c r="H414" s="20" t="s">
        <v>317</v>
      </c>
      <c r="I414" s="16">
        <f t="shared" ref="I413:I418" si="54">J414+K414</f>
        <v>70</v>
      </c>
      <c r="J414" s="16">
        <v>70</v>
      </c>
      <c r="K414" s="16"/>
      <c r="L414" s="16" t="s">
        <v>139</v>
      </c>
      <c r="M414" s="16">
        <v>284</v>
      </c>
      <c r="N414" s="16">
        <v>1160</v>
      </c>
      <c r="O414" s="16">
        <v>11</v>
      </c>
      <c r="P414" s="20">
        <v>21</v>
      </c>
      <c r="Q414" s="18" t="s">
        <v>1558</v>
      </c>
      <c r="R414" s="17" t="s">
        <v>941</v>
      </c>
      <c r="S414" s="17" t="s">
        <v>941</v>
      </c>
      <c r="T414" s="17"/>
    </row>
    <row r="415" s="4" customFormat="1" ht="52.2" spans="1:20">
      <c r="A415" s="17">
        <f t="shared" si="53"/>
        <v>410</v>
      </c>
      <c r="B415" s="16" t="s">
        <v>58</v>
      </c>
      <c r="C415" s="16" t="s">
        <v>73</v>
      </c>
      <c r="D415" s="16" t="s">
        <v>77</v>
      </c>
      <c r="E415" s="16" t="s">
        <v>1559</v>
      </c>
      <c r="F415" s="18" t="s">
        <v>1560</v>
      </c>
      <c r="G415" s="16" t="s">
        <v>571</v>
      </c>
      <c r="H415" s="17" t="s">
        <v>1561</v>
      </c>
      <c r="I415" s="16">
        <f t="shared" si="54"/>
        <v>13</v>
      </c>
      <c r="J415" s="16">
        <v>13</v>
      </c>
      <c r="K415" s="16"/>
      <c r="L415" s="17" t="s">
        <v>139</v>
      </c>
      <c r="M415" s="17">
        <v>120</v>
      </c>
      <c r="N415" s="17">
        <v>386</v>
      </c>
      <c r="O415" s="17">
        <v>4</v>
      </c>
      <c r="P415" s="17">
        <v>4</v>
      </c>
      <c r="Q415" s="18" t="s">
        <v>1562</v>
      </c>
      <c r="R415" s="17" t="s">
        <v>941</v>
      </c>
      <c r="S415" s="17" t="s">
        <v>941</v>
      </c>
      <c r="T415" s="17"/>
    </row>
    <row r="416" s="1" customFormat="1" ht="52.2" spans="1:20">
      <c r="A416" s="17">
        <f t="shared" si="53"/>
        <v>411</v>
      </c>
      <c r="B416" s="17" t="s">
        <v>58</v>
      </c>
      <c r="C416" s="19" t="s">
        <v>73</v>
      </c>
      <c r="D416" s="19" t="s">
        <v>77</v>
      </c>
      <c r="E416" s="16" t="s">
        <v>1563</v>
      </c>
      <c r="F416" s="18" t="s">
        <v>1564</v>
      </c>
      <c r="G416" s="16" t="s">
        <v>207</v>
      </c>
      <c r="H416" s="20" t="s">
        <v>693</v>
      </c>
      <c r="I416" s="16">
        <f t="shared" si="54"/>
        <v>25</v>
      </c>
      <c r="J416" s="16">
        <v>25</v>
      </c>
      <c r="K416" s="16"/>
      <c r="L416" s="16" t="s">
        <v>139</v>
      </c>
      <c r="M416" s="16">
        <v>370</v>
      </c>
      <c r="N416" s="16">
        <v>1084</v>
      </c>
      <c r="O416" s="16">
        <v>16</v>
      </c>
      <c r="P416" s="20">
        <v>31</v>
      </c>
      <c r="Q416" s="18" t="s">
        <v>1565</v>
      </c>
      <c r="R416" s="17" t="s">
        <v>210</v>
      </c>
      <c r="S416" s="17" t="s">
        <v>941</v>
      </c>
      <c r="T416" s="17"/>
    </row>
    <row r="417" s="1" customFormat="1" ht="52.2" spans="1:20">
      <c r="A417" s="17">
        <f t="shared" si="53"/>
        <v>412</v>
      </c>
      <c r="B417" s="17" t="s">
        <v>58</v>
      </c>
      <c r="C417" s="19" t="s">
        <v>73</v>
      </c>
      <c r="D417" s="19" t="s">
        <v>77</v>
      </c>
      <c r="E417" s="16" t="s">
        <v>1566</v>
      </c>
      <c r="F417" s="18" t="s">
        <v>1567</v>
      </c>
      <c r="G417" s="16" t="s">
        <v>207</v>
      </c>
      <c r="H417" s="20" t="s">
        <v>1355</v>
      </c>
      <c r="I417" s="16">
        <f t="shared" si="54"/>
        <v>25</v>
      </c>
      <c r="J417" s="16">
        <v>25</v>
      </c>
      <c r="K417" s="16"/>
      <c r="L417" s="16" t="s">
        <v>139</v>
      </c>
      <c r="M417" s="16">
        <v>167</v>
      </c>
      <c r="N417" s="16">
        <v>425</v>
      </c>
      <c r="O417" s="16">
        <v>9</v>
      </c>
      <c r="P417" s="20">
        <v>18</v>
      </c>
      <c r="Q417" s="18" t="s">
        <v>1568</v>
      </c>
      <c r="R417" s="17" t="s">
        <v>210</v>
      </c>
      <c r="S417" s="17" t="s">
        <v>941</v>
      </c>
      <c r="T417" s="17"/>
    </row>
    <row r="418" s="1" customFormat="1" ht="87" spans="1:20">
      <c r="A418" s="17">
        <f t="shared" si="53"/>
        <v>413</v>
      </c>
      <c r="B418" s="17" t="s">
        <v>58</v>
      </c>
      <c r="C418" s="19" t="s">
        <v>73</v>
      </c>
      <c r="D418" s="19" t="s">
        <v>77</v>
      </c>
      <c r="E418" s="16" t="s">
        <v>1569</v>
      </c>
      <c r="F418" s="18" t="s">
        <v>1570</v>
      </c>
      <c r="G418" s="16" t="s">
        <v>247</v>
      </c>
      <c r="H418" s="20" t="s">
        <v>850</v>
      </c>
      <c r="I418" s="16">
        <f t="shared" si="54"/>
        <v>50</v>
      </c>
      <c r="J418" s="16"/>
      <c r="K418" s="16">
        <v>50</v>
      </c>
      <c r="L418" s="16" t="s">
        <v>139</v>
      </c>
      <c r="M418" s="16">
        <v>78</v>
      </c>
      <c r="N418" s="16">
        <v>151</v>
      </c>
      <c r="O418" s="16">
        <v>3</v>
      </c>
      <c r="P418" s="20">
        <v>6</v>
      </c>
      <c r="Q418" s="18" t="s">
        <v>1571</v>
      </c>
      <c r="R418" s="17" t="s">
        <v>250</v>
      </c>
      <c r="S418" s="17" t="s">
        <v>941</v>
      </c>
      <c r="T418" s="17" t="s">
        <v>176</v>
      </c>
    </row>
    <row r="419" s="1" customFormat="1" ht="113" customHeight="1" spans="1:20">
      <c r="A419" s="17">
        <f t="shared" si="53"/>
        <v>414</v>
      </c>
      <c r="B419" s="17" t="s">
        <v>58</v>
      </c>
      <c r="C419" s="19" t="s">
        <v>73</v>
      </c>
      <c r="D419" s="19" t="s">
        <v>77</v>
      </c>
      <c r="E419" s="16" t="s">
        <v>1572</v>
      </c>
      <c r="F419" s="18" t="s">
        <v>1573</v>
      </c>
      <c r="G419" s="16" t="s">
        <v>591</v>
      </c>
      <c r="H419" s="20" t="s">
        <v>731</v>
      </c>
      <c r="I419" s="16">
        <f t="shared" ref="I414:I450" si="55">J419+K419</f>
        <v>40</v>
      </c>
      <c r="J419" s="16"/>
      <c r="K419" s="16">
        <v>40</v>
      </c>
      <c r="L419" s="16" t="s">
        <v>139</v>
      </c>
      <c r="M419" s="16">
        <v>200</v>
      </c>
      <c r="N419" s="16">
        <v>598</v>
      </c>
      <c r="O419" s="16">
        <v>4</v>
      </c>
      <c r="P419" s="20">
        <v>9</v>
      </c>
      <c r="Q419" s="18" t="s">
        <v>1574</v>
      </c>
      <c r="R419" s="17" t="s">
        <v>594</v>
      </c>
      <c r="S419" s="17" t="s">
        <v>941</v>
      </c>
      <c r="T419" s="17" t="s">
        <v>176</v>
      </c>
    </row>
    <row r="420" s="1" customFormat="1" ht="69.6" spans="1:20">
      <c r="A420" s="17">
        <f t="shared" ref="A420:A429" si="56">ROW()-5</f>
        <v>415</v>
      </c>
      <c r="B420" s="17" t="s">
        <v>58</v>
      </c>
      <c r="C420" s="19" t="s">
        <v>73</v>
      </c>
      <c r="D420" s="19" t="s">
        <v>77</v>
      </c>
      <c r="E420" s="16" t="s">
        <v>1575</v>
      </c>
      <c r="F420" s="18" t="s">
        <v>1576</v>
      </c>
      <c r="G420" s="16" t="s">
        <v>591</v>
      </c>
      <c r="H420" s="20" t="s">
        <v>1080</v>
      </c>
      <c r="I420" s="16">
        <f t="shared" si="55"/>
        <v>20</v>
      </c>
      <c r="J420" s="16">
        <v>20</v>
      </c>
      <c r="K420" s="16"/>
      <c r="L420" s="16" t="s">
        <v>139</v>
      </c>
      <c r="M420" s="16">
        <v>202</v>
      </c>
      <c r="N420" s="16">
        <v>590</v>
      </c>
      <c r="O420" s="16">
        <v>7</v>
      </c>
      <c r="P420" s="20">
        <v>14</v>
      </c>
      <c r="Q420" s="18" t="s">
        <v>1577</v>
      </c>
      <c r="R420" s="17" t="s">
        <v>594</v>
      </c>
      <c r="S420" s="17" t="s">
        <v>941</v>
      </c>
      <c r="T420" s="17"/>
    </row>
    <row r="421" s="1" customFormat="1" ht="81" customHeight="1" spans="1:20">
      <c r="A421" s="17">
        <f t="shared" si="56"/>
        <v>416</v>
      </c>
      <c r="B421" s="17" t="s">
        <v>58</v>
      </c>
      <c r="C421" s="19" t="s">
        <v>73</v>
      </c>
      <c r="D421" s="19" t="s">
        <v>77</v>
      </c>
      <c r="E421" s="16" t="s">
        <v>1578</v>
      </c>
      <c r="F421" s="18" t="s">
        <v>1579</v>
      </c>
      <c r="G421" s="16" t="s">
        <v>591</v>
      </c>
      <c r="H421" s="20" t="s">
        <v>743</v>
      </c>
      <c r="I421" s="16">
        <f t="shared" si="55"/>
        <v>25</v>
      </c>
      <c r="J421" s="16">
        <v>25</v>
      </c>
      <c r="K421" s="16"/>
      <c r="L421" s="16" t="s">
        <v>139</v>
      </c>
      <c r="M421" s="16">
        <v>262</v>
      </c>
      <c r="N421" s="16">
        <v>779</v>
      </c>
      <c r="O421" s="16">
        <v>3</v>
      </c>
      <c r="P421" s="20">
        <v>6</v>
      </c>
      <c r="Q421" s="18" t="s">
        <v>1580</v>
      </c>
      <c r="R421" s="17" t="s">
        <v>594</v>
      </c>
      <c r="S421" s="17" t="s">
        <v>941</v>
      </c>
      <c r="T421" s="17"/>
    </row>
    <row r="422" s="1" customFormat="1" ht="81" customHeight="1" spans="1:20">
      <c r="A422" s="17">
        <f t="shared" si="56"/>
        <v>417</v>
      </c>
      <c r="B422" s="17" t="s">
        <v>58</v>
      </c>
      <c r="C422" s="19" t="s">
        <v>73</v>
      </c>
      <c r="D422" s="19" t="s">
        <v>77</v>
      </c>
      <c r="E422" s="16" t="s">
        <v>1581</v>
      </c>
      <c r="F422" s="18" t="s">
        <v>1582</v>
      </c>
      <c r="G422" s="16" t="s">
        <v>591</v>
      </c>
      <c r="H422" s="20" t="s">
        <v>592</v>
      </c>
      <c r="I422" s="16">
        <f t="shared" si="55"/>
        <v>25</v>
      </c>
      <c r="J422" s="16">
        <v>25</v>
      </c>
      <c r="K422" s="16"/>
      <c r="L422" s="16" t="s">
        <v>139</v>
      </c>
      <c r="M422" s="16">
        <v>100</v>
      </c>
      <c r="N422" s="16">
        <v>328</v>
      </c>
      <c r="O422" s="16">
        <v>2</v>
      </c>
      <c r="P422" s="20">
        <v>2</v>
      </c>
      <c r="Q422" s="18" t="s">
        <v>1583</v>
      </c>
      <c r="R422" s="17" t="s">
        <v>594</v>
      </c>
      <c r="S422" s="17" t="s">
        <v>941</v>
      </c>
      <c r="T422" s="17"/>
    </row>
    <row r="423" s="1" customFormat="1" ht="60" customHeight="1" spans="1:20">
      <c r="A423" s="17">
        <f t="shared" si="56"/>
        <v>418</v>
      </c>
      <c r="B423" s="17" t="s">
        <v>58</v>
      </c>
      <c r="C423" s="19" t="s">
        <v>73</v>
      </c>
      <c r="D423" s="19" t="s">
        <v>77</v>
      </c>
      <c r="E423" s="16" t="s">
        <v>1584</v>
      </c>
      <c r="F423" s="18" t="s">
        <v>1585</v>
      </c>
      <c r="G423" s="16" t="s">
        <v>194</v>
      </c>
      <c r="H423" s="20" t="s">
        <v>763</v>
      </c>
      <c r="I423" s="16">
        <f t="shared" si="55"/>
        <v>29.9</v>
      </c>
      <c r="J423" s="16">
        <v>29.9</v>
      </c>
      <c r="K423" s="16"/>
      <c r="L423" s="16" t="s">
        <v>139</v>
      </c>
      <c r="M423" s="16">
        <v>341</v>
      </c>
      <c r="N423" s="16">
        <v>875</v>
      </c>
      <c r="O423" s="16">
        <v>36</v>
      </c>
      <c r="P423" s="20">
        <v>89</v>
      </c>
      <c r="Q423" s="18" t="s">
        <v>1586</v>
      </c>
      <c r="R423" s="17" t="s">
        <v>194</v>
      </c>
      <c r="S423" s="17" t="s">
        <v>941</v>
      </c>
      <c r="T423" s="17"/>
    </row>
    <row r="424" s="1" customFormat="1" ht="52.2" spans="1:20">
      <c r="A424" s="17">
        <f t="shared" si="56"/>
        <v>419</v>
      </c>
      <c r="B424" s="17" t="s">
        <v>58</v>
      </c>
      <c r="C424" s="19" t="s">
        <v>73</v>
      </c>
      <c r="D424" s="19" t="s">
        <v>77</v>
      </c>
      <c r="E424" s="16" t="s">
        <v>1587</v>
      </c>
      <c r="F424" s="18" t="s">
        <v>1588</v>
      </c>
      <c r="G424" s="16" t="s">
        <v>173</v>
      </c>
      <c r="H424" s="20" t="s">
        <v>174</v>
      </c>
      <c r="I424" s="16">
        <f t="shared" si="55"/>
        <v>40</v>
      </c>
      <c r="J424" s="16"/>
      <c r="K424" s="16">
        <v>40</v>
      </c>
      <c r="L424" s="16" t="s">
        <v>139</v>
      </c>
      <c r="M424" s="16">
        <v>443</v>
      </c>
      <c r="N424" s="16">
        <v>1123</v>
      </c>
      <c r="O424" s="16">
        <v>10</v>
      </c>
      <c r="P424" s="20">
        <v>19</v>
      </c>
      <c r="Q424" s="18" t="s">
        <v>1589</v>
      </c>
      <c r="R424" s="17" t="s">
        <v>173</v>
      </c>
      <c r="S424" s="17" t="s">
        <v>941</v>
      </c>
      <c r="T424" s="17" t="s">
        <v>176</v>
      </c>
    </row>
    <row r="425" s="1" customFormat="1" ht="52.2" spans="1:20">
      <c r="A425" s="17">
        <f t="shared" si="56"/>
        <v>420</v>
      </c>
      <c r="B425" s="17" t="s">
        <v>58</v>
      </c>
      <c r="C425" s="19" t="s">
        <v>73</v>
      </c>
      <c r="D425" s="19" t="s">
        <v>77</v>
      </c>
      <c r="E425" s="16" t="s">
        <v>1590</v>
      </c>
      <c r="F425" s="18" t="s">
        <v>1591</v>
      </c>
      <c r="G425" s="16" t="s">
        <v>213</v>
      </c>
      <c r="H425" s="20" t="s">
        <v>554</v>
      </c>
      <c r="I425" s="16">
        <f t="shared" si="55"/>
        <v>20</v>
      </c>
      <c r="J425" s="16"/>
      <c r="K425" s="16">
        <v>20</v>
      </c>
      <c r="L425" s="16" t="s">
        <v>139</v>
      </c>
      <c r="M425" s="16">
        <v>105</v>
      </c>
      <c r="N425" s="16">
        <v>297</v>
      </c>
      <c r="O425" s="16">
        <v>10</v>
      </c>
      <c r="P425" s="20">
        <v>29</v>
      </c>
      <c r="Q425" s="18" t="s">
        <v>1592</v>
      </c>
      <c r="R425" s="17" t="s">
        <v>216</v>
      </c>
      <c r="S425" s="17" t="s">
        <v>941</v>
      </c>
      <c r="T425" s="17" t="s">
        <v>176</v>
      </c>
    </row>
    <row r="426" s="1" customFormat="1" ht="87" spans="1:20">
      <c r="A426" s="17">
        <f t="shared" si="56"/>
        <v>421</v>
      </c>
      <c r="B426" s="17" t="s">
        <v>58</v>
      </c>
      <c r="C426" s="19" t="s">
        <v>73</v>
      </c>
      <c r="D426" s="19" t="s">
        <v>77</v>
      </c>
      <c r="E426" s="16" t="s">
        <v>1593</v>
      </c>
      <c r="F426" s="18" t="s">
        <v>1594</v>
      </c>
      <c r="G426" s="16" t="s">
        <v>213</v>
      </c>
      <c r="H426" s="20" t="s">
        <v>468</v>
      </c>
      <c r="I426" s="16">
        <f t="shared" si="55"/>
        <v>35</v>
      </c>
      <c r="J426" s="16"/>
      <c r="K426" s="16">
        <v>35</v>
      </c>
      <c r="L426" s="16" t="s">
        <v>139</v>
      </c>
      <c r="M426" s="16">
        <v>258</v>
      </c>
      <c r="N426" s="16">
        <v>675</v>
      </c>
      <c r="O426" s="16">
        <v>30</v>
      </c>
      <c r="P426" s="20">
        <v>90</v>
      </c>
      <c r="Q426" s="18" t="s">
        <v>1595</v>
      </c>
      <c r="R426" s="17" t="s">
        <v>216</v>
      </c>
      <c r="S426" s="17" t="s">
        <v>941</v>
      </c>
      <c r="T426" s="17" t="s">
        <v>176</v>
      </c>
    </row>
    <row r="427" s="1" customFormat="1" ht="72" customHeight="1" spans="1:20">
      <c r="A427" s="17">
        <f t="shared" si="56"/>
        <v>422</v>
      </c>
      <c r="B427" s="17" t="s">
        <v>58</v>
      </c>
      <c r="C427" s="19" t="s">
        <v>73</v>
      </c>
      <c r="D427" s="19" t="s">
        <v>77</v>
      </c>
      <c r="E427" s="16" t="s">
        <v>1596</v>
      </c>
      <c r="F427" s="18" t="s">
        <v>1597</v>
      </c>
      <c r="G427" s="16" t="s">
        <v>213</v>
      </c>
      <c r="H427" s="20" t="s">
        <v>1598</v>
      </c>
      <c r="I427" s="16">
        <f t="shared" si="55"/>
        <v>13</v>
      </c>
      <c r="J427" s="16">
        <v>13</v>
      </c>
      <c r="K427" s="16"/>
      <c r="L427" s="16" t="s">
        <v>139</v>
      </c>
      <c r="M427" s="16">
        <v>102</v>
      </c>
      <c r="N427" s="16">
        <v>265</v>
      </c>
      <c r="O427" s="16">
        <v>2</v>
      </c>
      <c r="P427" s="20">
        <v>2</v>
      </c>
      <c r="Q427" s="18" t="s">
        <v>1599</v>
      </c>
      <c r="R427" s="17" t="s">
        <v>216</v>
      </c>
      <c r="S427" s="17" t="s">
        <v>941</v>
      </c>
      <c r="T427" s="17"/>
    </row>
    <row r="428" s="1" customFormat="1" ht="79" customHeight="1" spans="1:20">
      <c r="A428" s="17">
        <f t="shared" si="56"/>
        <v>423</v>
      </c>
      <c r="B428" s="17" t="s">
        <v>58</v>
      </c>
      <c r="C428" s="19" t="s">
        <v>73</v>
      </c>
      <c r="D428" s="19" t="s">
        <v>77</v>
      </c>
      <c r="E428" s="16" t="s">
        <v>1600</v>
      </c>
      <c r="F428" s="18" t="s">
        <v>1601</v>
      </c>
      <c r="G428" s="16" t="s">
        <v>213</v>
      </c>
      <c r="H428" s="20" t="s">
        <v>1602</v>
      </c>
      <c r="I428" s="16">
        <f t="shared" si="55"/>
        <v>30</v>
      </c>
      <c r="J428" s="16">
        <v>30</v>
      </c>
      <c r="K428" s="16"/>
      <c r="L428" s="16" t="s">
        <v>139</v>
      </c>
      <c r="M428" s="16">
        <v>396</v>
      </c>
      <c r="N428" s="16">
        <v>1046</v>
      </c>
      <c r="O428" s="16">
        <v>31</v>
      </c>
      <c r="P428" s="20">
        <v>80</v>
      </c>
      <c r="Q428" s="18" t="s">
        <v>1603</v>
      </c>
      <c r="R428" s="17" t="s">
        <v>216</v>
      </c>
      <c r="S428" s="17" t="s">
        <v>941</v>
      </c>
      <c r="T428" s="17"/>
    </row>
    <row r="429" s="1" customFormat="1" ht="52.2" spans="1:20">
      <c r="A429" s="17">
        <f t="shared" si="56"/>
        <v>424</v>
      </c>
      <c r="B429" s="17" t="s">
        <v>58</v>
      </c>
      <c r="C429" s="19" t="s">
        <v>73</v>
      </c>
      <c r="D429" s="19" t="s">
        <v>77</v>
      </c>
      <c r="E429" s="16" t="s">
        <v>1604</v>
      </c>
      <c r="F429" s="18" t="s">
        <v>1605</v>
      </c>
      <c r="G429" s="16" t="s">
        <v>232</v>
      </c>
      <c r="H429" s="20" t="s">
        <v>476</v>
      </c>
      <c r="I429" s="16">
        <f t="shared" si="55"/>
        <v>15</v>
      </c>
      <c r="J429" s="16">
        <v>15</v>
      </c>
      <c r="K429" s="16"/>
      <c r="L429" s="16" t="s">
        <v>139</v>
      </c>
      <c r="M429" s="16">
        <v>99</v>
      </c>
      <c r="N429" s="16">
        <v>300</v>
      </c>
      <c r="O429" s="16">
        <v>4</v>
      </c>
      <c r="P429" s="20">
        <v>10</v>
      </c>
      <c r="Q429" s="18" t="s">
        <v>1606</v>
      </c>
      <c r="R429" s="17" t="s">
        <v>240</v>
      </c>
      <c r="S429" s="17" t="s">
        <v>941</v>
      </c>
      <c r="T429" s="17"/>
    </row>
    <row r="430" s="1" customFormat="1" ht="52.2" spans="1:20">
      <c r="A430" s="17">
        <f t="shared" ref="A430:A439" si="57">ROW()-5</f>
        <v>425</v>
      </c>
      <c r="B430" s="17" t="s">
        <v>58</v>
      </c>
      <c r="C430" s="19" t="s">
        <v>73</v>
      </c>
      <c r="D430" s="19" t="s">
        <v>77</v>
      </c>
      <c r="E430" s="16" t="s">
        <v>1607</v>
      </c>
      <c r="F430" s="18" t="s">
        <v>1608</v>
      </c>
      <c r="G430" s="16" t="s">
        <v>311</v>
      </c>
      <c r="H430" s="20" t="s">
        <v>1311</v>
      </c>
      <c r="I430" s="16">
        <f t="shared" si="55"/>
        <v>28.4</v>
      </c>
      <c r="J430" s="16">
        <v>28.4</v>
      </c>
      <c r="K430" s="16"/>
      <c r="L430" s="16" t="s">
        <v>139</v>
      </c>
      <c r="M430" s="16">
        <v>315</v>
      </c>
      <c r="N430" s="16">
        <v>850</v>
      </c>
      <c r="O430" s="16">
        <v>13</v>
      </c>
      <c r="P430" s="20">
        <v>26</v>
      </c>
      <c r="Q430" s="18" t="s">
        <v>1609</v>
      </c>
      <c r="R430" s="17" t="s">
        <v>311</v>
      </c>
      <c r="S430" s="17" t="s">
        <v>941</v>
      </c>
      <c r="T430" s="17"/>
    </row>
    <row r="431" s="1" customFormat="1" ht="52.2" spans="1:20">
      <c r="A431" s="17">
        <f t="shared" si="57"/>
        <v>426</v>
      </c>
      <c r="B431" s="17" t="s">
        <v>58</v>
      </c>
      <c r="C431" s="19" t="s">
        <v>73</v>
      </c>
      <c r="D431" s="19" t="s">
        <v>77</v>
      </c>
      <c r="E431" s="16" t="s">
        <v>1610</v>
      </c>
      <c r="F431" s="18" t="s">
        <v>1611</v>
      </c>
      <c r="G431" s="16" t="s">
        <v>362</v>
      </c>
      <c r="H431" s="20" t="s">
        <v>371</v>
      </c>
      <c r="I431" s="16">
        <f t="shared" si="55"/>
        <v>50</v>
      </c>
      <c r="J431" s="16">
        <v>50</v>
      </c>
      <c r="K431" s="16"/>
      <c r="L431" s="16" t="s">
        <v>139</v>
      </c>
      <c r="M431" s="16">
        <v>220</v>
      </c>
      <c r="N431" s="16">
        <v>562</v>
      </c>
      <c r="O431" s="16">
        <v>9</v>
      </c>
      <c r="P431" s="20">
        <v>11</v>
      </c>
      <c r="Q431" s="18" t="s">
        <v>1612</v>
      </c>
      <c r="R431" s="42" t="s">
        <v>941</v>
      </c>
      <c r="S431" s="17" t="s">
        <v>941</v>
      </c>
      <c r="T431" s="17" t="s">
        <v>176</v>
      </c>
    </row>
    <row r="432" s="1" customFormat="1" ht="69" customHeight="1" spans="1:20">
      <c r="A432" s="17">
        <f t="shared" si="57"/>
        <v>427</v>
      </c>
      <c r="B432" s="17" t="s">
        <v>58</v>
      </c>
      <c r="C432" s="19" t="s">
        <v>73</v>
      </c>
      <c r="D432" s="19" t="s">
        <v>77</v>
      </c>
      <c r="E432" s="16" t="s">
        <v>1613</v>
      </c>
      <c r="F432" s="18" t="s">
        <v>1614</v>
      </c>
      <c r="G432" s="16" t="s">
        <v>362</v>
      </c>
      <c r="H432" s="20" t="s">
        <v>1473</v>
      </c>
      <c r="I432" s="16">
        <f t="shared" si="55"/>
        <v>12.5</v>
      </c>
      <c r="J432" s="16">
        <v>12.5</v>
      </c>
      <c r="K432" s="16"/>
      <c r="L432" s="16" t="s">
        <v>139</v>
      </c>
      <c r="M432" s="16">
        <v>126</v>
      </c>
      <c r="N432" s="16">
        <v>344</v>
      </c>
      <c r="O432" s="16">
        <v>6</v>
      </c>
      <c r="P432" s="20">
        <v>12</v>
      </c>
      <c r="Q432" s="18" t="s">
        <v>1615</v>
      </c>
      <c r="R432" s="17" t="s">
        <v>365</v>
      </c>
      <c r="S432" s="17" t="s">
        <v>941</v>
      </c>
      <c r="T432" s="17"/>
    </row>
    <row r="433" ht="83" customHeight="1" spans="1:20">
      <c r="A433" s="17">
        <f t="shared" si="57"/>
        <v>428</v>
      </c>
      <c r="B433" s="19" t="s">
        <v>58</v>
      </c>
      <c r="C433" s="19" t="s">
        <v>73</v>
      </c>
      <c r="D433" s="17" t="s">
        <v>77</v>
      </c>
      <c r="E433" s="19" t="s">
        <v>1616</v>
      </c>
      <c r="F433" s="21" t="s">
        <v>1617</v>
      </c>
      <c r="G433" s="19" t="s">
        <v>194</v>
      </c>
      <c r="H433" s="19" t="s">
        <v>671</v>
      </c>
      <c r="I433" s="16">
        <f t="shared" si="55"/>
        <v>15.4</v>
      </c>
      <c r="J433" s="17">
        <v>15.4</v>
      </c>
      <c r="K433" s="17"/>
      <c r="L433" s="19" t="s">
        <v>139</v>
      </c>
      <c r="M433" s="19">
        <v>708</v>
      </c>
      <c r="N433" s="19">
        <v>1756</v>
      </c>
      <c r="O433" s="19">
        <v>32</v>
      </c>
      <c r="P433" s="19">
        <v>68</v>
      </c>
      <c r="Q433" s="31" t="s">
        <v>1158</v>
      </c>
      <c r="R433" s="17" t="s">
        <v>941</v>
      </c>
      <c r="S433" s="19" t="s">
        <v>941</v>
      </c>
      <c r="T433" s="17"/>
    </row>
    <row r="434" ht="65" customHeight="1" spans="1:20">
      <c r="A434" s="17">
        <f t="shared" si="57"/>
        <v>429</v>
      </c>
      <c r="B434" s="17" t="s">
        <v>58</v>
      </c>
      <c r="C434" s="17" t="s">
        <v>73</v>
      </c>
      <c r="D434" s="17" t="s">
        <v>77</v>
      </c>
      <c r="E434" s="17" t="s">
        <v>1618</v>
      </c>
      <c r="F434" s="21" t="s">
        <v>1619</v>
      </c>
      <c r="G434" s="17" t="s">
        <v>571</v>
      </c>
      <c r="H434" s="17" t="s">
        <v>1307</v>
      </c>
      <c r="I434" s="16">
        <f t="shared" si="55"/>
        <v>16</v>
      </c>
      <c r="J434" s="17">
        <v>16</v>
      </c>
      <c r="K434" s="17"/>
      <c r="L434" s="17" t="s">
        <v>139</v>
      </c>
      <c r="M434" s="17">
        <v>393</v>
      </c>
      <c r="N434" s="17">
        <v>1064</v>
      </c>
      <c r="O434" s="17">
        <v>47</v>
      </c>
      <c r="P434" s="17">
        <v>133</v>
      </c>
      <c r="Q434" s="21" t="s">
        <v>1620</v>
      </c>
      <c r="R434" s="17" t="s">
        <v>574</v>
      </c>
      <c r="S434" s="17" t="s">
        <v>941</v>
      </c>
      <c r="T434" s="17"/>
    </row>
    <row r="435" ht="80" customHeight="1" spans="1:20">
      <c r="A435" s="17">
        <f t="shared" si="57"/>
        <v>430</v>
      </c>
      <c r="B435" s="17" t="s">
        <v>58</v>
      </c>
      <c r="C435" s="17" t="s">
        <v>73</v>
      </c>
      <c r="D435" s="17" t="s">
        <v>77</v>
      </c>
      <c r="E435" s="17" t="s">
        <v>1621</v>
      </c>
      <c r="F435" s="21" t="s">
        <v>1622</v>
      </c>
      <c r="G435" s="17" t="s">
        <v>173</v>
      </c>
      <c r="H435" s="19" t="s">
        <v>179</v>
      </c>
      <c r="I435" s="16">
        <f t="shared" si="55"/>
        <v>35</v>
      </c>
      <c r="J435" s="17">
        <v>35</v>
      </c>
      <c r="K435" s="17"/>
      <c r="L435" s="17" t="s">
        <v>139</v>
      </c>
      <c r="M435" s="17">
        <v>403</v>
      </c>
      <c r="N435" s="17">
        <v>1036</v>
      </c>
      <c r="O435" s="17">
        <v>13</v>
      </c>
      <c r="P435" s="17">
        <v>23</v>
      </c>
      <c r="Q435" s="21" t="s">
        <v>1623</v>
      </c>
      <c r="R435" s="42" t="s">
        <v>941</v>
      </c>
      <c r="S435" s="17" t="s">
        <v>941</v>
      </c>
      <c r="T435" s="17"/>
    </row>
    <row r="436" ht="49" customHeight="1" spans="1:20">
      <c r="A436" s="17">
        <f t="shared" si="57"/>
        <v>431</v>
      </c>
      <c r="B436" s="17" t="s">
        <v>58</v>
      </c>
      <c r="C436" s="17" t="s">
        <v>73</v>
      </c>
      <c r="D436" s="17" t="s">
        <v>77</v>
      </c>
      <c r="E436" s="17" t="s">
        <v>1624</v>
      </c>
      <c r="F436" s="21" t="s">
        <v>1625</v>
      </c>
      <c r="G436" s="17" t="s">
        <v>257</v>
      </c>
      <c r="H436" s="17" t="s">
        <v>799</v>
      </c>
      <c r="I436" s="16">
        <f t="shared" si="55"/>
        <v>12</v>
      </c>
      <c r="J436" s="17">
        <v>12</v>
      </c>
      <c r="K436" s="17"/>
      <c r="L436" s="17" t="s">
        <v>139</v>
      </c>
      <c r="M436" s="17">
        <v>62</v>
      </c>
      <c r="N436" s="17">
        <v>220</v>
      </c>
      <c r="O436" s="17">
        <v>4</v>
      </c>
      <c r="P436" s="17">
        <v>10</v>
      </c>
      <c r="Q436" s="21" t="s">
        <v>1626</v>
      </c>
      <c r="R436" s="17" t="s">
        <v>260</v>
      </c>
      <c r="S436" s="17" t="s">
        <v>941</v>
      </c>
      <c r="T436" s="17"/>
    </row>
    <row r="437" ht="54" customHeight="1" spans="1:20">
      <c r="A437" s="17">
        <f t="shared" si="57"/>
        <v>432</v>
      </c>
      <c r="B437" s="16" t="s">
        <v>58</v>
      </c>
      <c r="C437" s="16" t="s">
        <v>73</v>
      </c>
      <c r="D437" s="16" t="s">
        <v>77</v>
      </c>
      <c r="E437" s="17" t="s">
        <v>1627</v>
      </c>
      <c r="F437" s="21" t="s">
        <v>1628</v>
      </c>
      <c r="G437" s="17" t="s">
        <v>232</v>
      </c>
      <c r="H437" s="17" t="s">
        <v>1629</v>
      </c>
      <c r="I437" s="16">
        <f t="shared" si="55"/>
        <v>4</v>
      </c>
      <c r="J437" s="16">
        <v>4</v>
      </c>
      <c r="K437" s="16"/>
      <c r="L437" s="17" t="s">
        <v>139</v>
      </c>
      <c r="M437" s="17">
        <v>87</v>
      </c>
      <c r="N437" s="17">
        <v>219</v>
      </c>
      <c r="O437" s="17">
        <v>4</v>
      </c>
      <c r="P437" s="17">
        <v>6</v>
      </c>
      <c r="Q437" s="21" t="s">
        <v>1630</v>
      </c>
      <c r="R437" s="17" t="s">
        <v>240</v>
      </c>
      <c r="S437" s="17" t="s">
        <v>941</v>
      </c>
      <c r="T437" s="17"/>
    </row>
    <row r="438" s="1" customFormat="1" ht="141" customHeight="1" spans="1:20">
      <c r="A438" s="17">
        <f t="shared" si="57"/>
        <v>433</v>
      </c>
      <c r="B438" s="17" t="s">
        <v>80</v>
      </c>
      <c r="C438" s="19" t="s">
        <v>80</v>
      </c>
      <c r="D438" s="19" t="s">
        <v>82</v>
      </c>
      <c r="E438" s="16" t="s">
        <v>1631</v>
      </c>
      <c r="F438" s="18" t="s">
        <v>1632</v>
      </c>
      <c r="G438" s="16" t="s">
        <v>397</v>
      </c>
      <c r="H438" s="20" t="s">
        <v>398</v>
      </c>
      <c r="I438" s="16">
        <f t="shared" si="55"/>
        <v>20</v>
      </c>
      <c r="J438" s="16">
        <v>20</v>
      </c>
      <c r="K438" s="16"/>
      <c r="L438" s="16" t="s">
        <v>399</v>
      </c>
      <c r="M438" s="16">
        <v>200</v>
      </c>
      <c r="N438" s="16">
        <v>635</v>
      </c>
      <c r="O438" s="16">
        <v>200</v>
      </c>
      <c r="P438" s="20">
        <v>635</v>
      </c>
      <c r="Q438" s="18" t="s">
        <v>1633</v>
      </c>
      <c r="R438" s="17" t="s">
        <v>397</v>
      </c>
      <c r="S438" s="17" t="s">
        <v>401</v>
      </c>
      <c r="T438" s="17"/>
    </row>
    <row r="439" s="1" customFormat="1" ht="87" spans="1:20">
      <c r="A439" s="17">
        <f t="shared" si="57"/>
        <v>434</v>
      </c>
      <c r="B439" s="17" t="s">
        <v>84</v>
      </c>
      <c r="C439" s="19" t="s">
        <v>87</v>
      </c>
      <c r="D439" s="19" t="s">
        <v>88</v>
      </c>
      <c r="E439" s="16" t="s">
        <v>1634</v>
      </c>
      <c r="F439" s="18" t="s">
        <v>1635</v>
      </c>
      <c r="G439" s="16" t="s">
        <v>913</v>
      </c>
      <c r="H439" s="20" t="s">
        <v>939</v>
      </c>
      <c r="I439" s="16">
        <f t="shared" si="55"/>
        <v>40.2</v>
      </c>
      <c r="J439" s="16">
        <v>40.2</v>
      </c>
      <c r="K439" s="16"/>
      <c r="L439" s="16" t="s">
        <v>139</v>
      </c>
      <c r="M439" s="16">
        <v>134</v>
      </c>
      <c r="N439" s="16">
        <v>134</v>
      </c>
      <c r="O439" s="16">
        <v>134</v>
      </c>
      <c r="P439" s="20">
        <v>134</v>
      </c>
      <c r="Q439" s="18" t="s">
        <v>1636</v>
      </c>
      <c r="R439" s="17" t="s">
        <v>941</v>
      </c>
      <c r="S439" s="17" t="s">
        <v>941</v>
      </c>
      <c r="T439" s="17"/>
    </row>
    <row r="440" s="1" customFormat="1" ht="87" spans="1:20">
      <c r="A440" s="17">
        <f t="shared" ref="A440:A450" si="58">ROW()-5</f>
        <v>435</v>
      </c>
      <c r="B440" s="17" t="s">
        <v>84</v>
      </c>
      <c r="C440" s="19" t="s">
        <v>87</v>
      </c>
      <c r="D440" s="19" t="s">
        <v>90</v>
      </c>
      <c r="E440" s="16" t="s">
        <v>1637</v>
      </c>
      <c r="F440" s="18" t="s">
        <v>1638</v>
      </c>
      <c r="G440" s="16" t="s">
        <v>913</v>
      </c>
      <c r="H440" s="20" t="s">
        <v>939</v>
      </c>
      <c r="I440" s="16">
        <f t="shared" si="55"/>
        <v>3.3</v>
      </c>
      <c r="J440" s="16"/>
      <c r="K440" s="16">
        <v>3.3</v>
      </c>
      <c r="L440" s="16" t="s">
        <v>139</v>
      </c>
      <c r="M440" s="16">
        <v>44</v>
      </c>
      <c r="N440" s="16">
        <v>44</v>
      </c>
      <c r="O440" s="16">
        <v>44</v>
      </c>
      <c r="P440" s="20">
        <v>44</v>
      </c>
      <c r="Q440" s="18" t="s">
        <v>1639</v>
      </c>
      <c r="R440" s="17" t="s">
        <v>1640</v>
      </c>
      <c r="S440" s="17" t="s">
        <v>1640</v>
      </c>
      <c r="T440" s="17"/>
    </row>
    <row r="441" s="1" customFormat="1" ht="87" spans="1:20">
      <c r="A441" s="17">
        <f t="shared" si="58"/>
        <v>436</v>
      </c>
      <c r="B441" s="17" t="s">
        <v>84</v>
      </c>
      <c r="C441" s="19" t="s">
        <v>87</v>
      </c>
      <c r="D441" s="19" t="s">
        <v>90</v>
      </c>
      <c r="E441" s="16" t="s">
        <v>1641</v>
      </c>
      <c r="F441" s="18" t="s">
        <v>1642</v>
      </c>
      <c r="G441" s="16" t="s">
        <v>913</v>
      </c>
      <c r="H441" s="20" t="s">
        <v>939</v>
      </c>
      <c r="I441" s="16">
        <f t="shared" si="55"/>
        <v>55.5</v>
      </c>
      <c r="J441" s="16"/>
      <c r="K441" s="16">
        <v>55.5</v>
      </c>
      <c r="L441" s="16" t="s">
        <v>139</v>
      </c>
      <c r="M441" s="16">
        <v>370</v>
      </c>
      <c r="N441" s="16">
        <v>370</v>
      </c>
      <c r="O441" s="16">
        <v>370</v>
      </c>
      <c r="P441" s="20">
        <v>370</v>
      </c>
      <c r="Q441" s="18" t="s">
        <v>1643</v>
      </c>
      <c r="R441" s="17" t="s">
        <v>1640</v>
      </c>
      <c r="S441" s="17" t="s">
        <v>1640</v>
      </c>
      <c r="T441" s="17"/>
    </row>
    <row r="442" s="1" customFormat="1" ht="87" spans="1:20">
      <c r="A442" s="17">
        <f t="shared" si="58"/>
        <v>437</v>
      </c>
      <c r="B442" s="17" t="s">
        <v>84</v>
      </c>
      <c r="C442" s="19" t="s">
        <v>87</v>
      </c>
      <c r="D442" s="19" t="s">
        <v>90</v>
      </c>
      <c r="E442" s="16" t="s">
        <v>1644</v>
      </c>
      <c r="F442" s="18" t="s">
        <v>1645</v>
      </c>
      <c r="G442" s="16" t="s">
        <v>913</v>
      </c>
      <c r="H442" s="20" t="s">
        <v>939</v>
      </c>
      <c r="I442" s="16">
        <f t="shared" si="55"/>
        <v>24</v>
      </c>
      <c r="J442" s="16"/>
      <c r="K442" s="16">
        <v>24</v>
      </c>
      <c r="L442" s="16" t="s">
        <v>139</v>
      </c>
      <c r="M442" s="16">
        <v>120</v>
      </c>
      <c r="N442" s="16">
        <v>120</v>
      </c>
      <c r="O442" s="16">
        <v>120</v>
      </c>
      <c r="P442" s="20">
        <v>120</v>
      </c>
      <c r="Q442" s="18" t="s">
        <v>1646</v>
      </c>
      <c r="R442" s="17" t="s">
        <v>1640</v>
      </c>
      <c r="S442" s="17" t="s">
        <v>1640</v>
      </c>
      <c r="T442" s="17"/>
    </row>
    <row r="443" s="1" customFormat="1" ht="88" customHeight="1" spans="1:20">
      <c r="A443" s="17">
        <f t="shared" si="58"/>
        <v>438</v>
      </c>
      <c r="B443" s="17" t="s">
        <v>84</v>
      </c>
      <c r="C443" s="19" t="s">
        <v>91</v>
      </c>
      <c r="D443" s="19" t="s">
        <v>92</v>
      </c>
      <c r="E443" s="16" t="s">
        <v>1647</v>
      </c>
      <c r="F443" s="18" t="s">
        <v>1648</v>
      </c>
      <c r="G443" s="16" t="s">
        <v>913</v>
      </c>
      <c r="H443" s="20" t="s">
        <v>939</v>
      </c>
      <c r="I443" s="16">
        <f t="shared" si="55"/>
        <v>129.5</v>
      </c>
      <c r="J443" s="16"/>
      <c r="K443" s="16">
        <v>129.5</v>
      </c>
      <c r="L443" s="16" t="s">
        <v>139</v>
      </c>
      <c r="M443" s="16">
        <v>2092</v>
      </c>
      <c r="N443" s="16">
        <v>5860</v>
      </c>
      <c r="O443" s="16">
        <v>2092</v>
      </c>
      <c r="P443" s="20">
        <v>5860</v>
      </c>
      <c r="Q443" s="18" t="s">
        <v>1649</v>
      </c>
      <c r="R443" s="17" t="s">
        <v>1650</v>
      </c>
      <c r="S443" s="17" t="s">
        <v>1650</v>
      </c>
      <c r="T443" s="17"/>
    </row>
    <row r="444" s="1" customFormat="1" ht="85" customHeight="1" spans="1:20">
      <c r="A444" s="17">
        <f t="shared" si="58"/>
        <v>439</v>
      </c>
      <c r="B444" s="17" t="s">
        <v>84</v>
      </c>
      <c r="C444" s="19" t="s">
        <v>91</v>
      </c>
      <c r="D444" s="19" t="s">
        <v>96</v>
      </c>
      <c r="E444" s="16" t="s">
        <v>1651</v>
      </c>
      <c r="F444" s="18" t="s">
        <v>1652</v>
      </c>
      <c r="G444" s="16" t="s">
        <v>913</v>
      </c>
      <c r="H444" s="20" t="s">
        <v>939</v>
      </c>
      <c r="I444" s="16">
        <f t="shared" si="55"/>
        <v>170</v>
      </c>
      <c r="J444" s="16"/>
      <c r="K444" s="16">
        <v>170</v>
      </c>
      <c r="L444" s="16" t="s">
        <v>139</v>
      </c>
      <c r="M444" s="16">
        <v>2092</v>
      </c>
      <c r="N444" s="16">
        <v>5860</v>
      </c>
      <c r="O444" s="16">
        <v>2092</v>
      </c>
      <c r="P444" s="20">
        <v>5860</v>
      </c>
      <c r="Q444" s="18" t="s">
        <v>1653</v>
      </c>
      <c r="R444" s="17" t="s">
        <v>1650</v>
      </c>
      <c r="S444" s="17" t="s">
        <v>1650</v>
      </c>
      <c r="T444" s="17"/>
    </row>
    <row r="445" s="1" customFormat="1" ht="87" spans="1:20">
      <c r="A445" s="17">
        <f t="shared" si="58"/>
        <v>440</v>
      </c>
      <c r="B445" s="17" t="s">
        <v>84</v>
      </c>
      <c r="C445" s="19" t="s">
        <v>98</v>
      </c>
      <c r="D445" s="19" t="s">
        <v>99</v>
      </c>
      <c r="E445" s="16" t="s">
        <v>1654</v>
      </c>
      <c r="F445" s="18" t="s">
        <v>1655</v>
      </c>
      <c r="G445" s="16" t="s">
        <v>913</v>
      </c>
      <c r="H445" s="20" t="s">
        <v>939</v>
      </c>
      <c r="I445" s="16">
        <f t="shared" si="55"/>
        <v>700</v>
      </c>
      <c r="J445" s="16"/>
      <c r="K445" s="16">
        <v>700</v>
      </c>
      <c r="L445" s="16" t="s">
        <v>139</v>
      </c>
      <c r="M445" s="16">
        <v>3084</v>
      </c>
      <c r="N445" s="16">
        <v>5896</v>
      </c>
      <c r="O445" s="16">
        <v>969</v>
      </c>
      <c r="P445" s="20">
        <v>1968</v>
      </c>
      <c r="Q445" s="18" t="s">
        <v>1655</v>
      </c>
      <c r="R445" s="17" t="s">
        <v>1656</v>
      </c>
      <c r="S445" s="17" t="s">
        <v>1656</v>
      </c>
      <c r="T445" s="17"/>
    </row>
    <row r="446" s="1" customFormat="1" ht="89" customHeight="1" spans="1:20">
      <c r="A446" s="17">
        <f t="shared" si="58"/>
        <v>441</v>
      </c>
      <c r="B446" s="17" t="s">
        <v>84</v>
      </c>
      <c r="C446" s="19" t="s">
        <v>98</v>
      </c>
      <c r="D446" s="19" t="s">
        <v>101</v>
      </c>
      <c r="E446" s="16" t="s">
        <v>1657</v>
      </c>
      <c r="F446" s="18" t="s">
        <v>1658</v>
      </c>
      <c r="G446" s="16" t="s">
        <v>913</v>
      </c>
      <c r="H446" s="20" t="s">
        <v>939</v>
      </c>
      <c r="I446" s="16">
        <f t="shared" si="55"/>
        <v>600</v>
      </c>
      <c r="J446" s="16"/>
      <c r="K446" s="16">
        <v>600</v>
      </c>
      <c r="L446" s="16" t="s">
        <v>139</v>
      </c>
      <c r="M446" s="16">
        <v>930</v>
      </c>
      <c r="N446" s="16">
        <v>932</v>
      </c>
      <c r="O446" s="16">
        <v>797</v>
      </c>
      <c r="P446" s="20">
        <v>799</v>
      </c>
      <c r="Q446" s="18" t="s">
        <v>1659</v>
      </c>
      <c r="R446" s="17" t="s">
        <v>1656</v>
      </c>
      <c r="S446" s="17" t="s">
        <v>1656</v>
      </c>
      <c r="T446" s="17"/>
    </row>
    <row r="447" s="1" customFormat="1" ht="87" spans="1:20">
      <c r="A447" s="17">
        <f t="shared" si="58"/>
        <v>442</v>
      </c>
      <c r="B447" s="17" t="s">
        <v>84</v>
      </c>
      <c r="C447" s="19" t="s">
        <v>98</v>
      </c>
      <c r="D447" s="19" t="s">
        <v>103</v>
      </c>
      <c r="E447" s="16" t="s">
        <v>1660</v>
      </c>
      <c r="F447" s="18" t="s">
        <v>1661</v>
      </c>
      <c r="G447" s="16" t="s">
        <v>913</v>
      </c>
      <c r="H447" s="20" t="s">
        <v>939</v>
      </c>
      <c r="I447" s="16">
        <f t="shared" si="55"/>
        <v>90</v>
      </c>
      <c r="J447" s="16"/>
      <c r="K447" s="16">
        <v>90</v>
      </c>
      <c r="L447" s="16" t="s">
        <v>139</v>
      </c>
      <c r="M447" s="16">
        <v>3500</v>
      </c>
      <c r="N447" s="16">
        <v>6980</v>
      </c>
      <c r="O447" s="16">
        <v>300</v>
      </c>
      <c r="P447" s="20">
        <v>750</v>
      </c>
      <c r="Q447" s="18" t="s">
        <v>1662</v>
      </c>
      <c r="R447" s="17" t="s">
        <v>1656</v>
      </c>
      <c r="S447" s="17" t="s">
        <v>1656</v>
      </c>
      <c r="T447" s="17"/>
    </row>
    <row r="448" s="1" customFormat="1" ht="87" spans="1:20">
      <c r="A448" s="17">
        <f t="shared" si="58"/>
        <v>443</v>
      </c>
      <c r="B448" s="17" t="s">
        <v>114</v>
      </c>
      <c r="C448" s="19" t="s">
        <v>114</v>
      </c>
      <c r="D448" s="19" t="s">
        <v>114</v>
      </c>
      <c r="E448" s="16" t="s">
        <v>1663</v>
      </c>
      <c r="F448" s="18" t="s">
        <v>1664</v>
      </c>
      <c r="G448" s="16" t="s">
        <v>913</v>
      </c>
      <c r="H448" s="20" t="s">
        <v>939</v>
      </c>
      <c r="I448" s="16">
        <f t="shared" si="55"/>
        <v>200</v>
      </c>
      <c r="J448" s="16">
        <v>200</v>
      </c>
      <c r="K448" s="16"/>
      <c r="L448" s="16" t="s">
        <v>139</v>
      </c>
      <c r="M448" s="16">
        <v>76237</v>
      </c>
      <c r="N448" s="16">
        <v>213150</v>
      </c>
      <c r="O448" s="16">
        <v>3330</v>
      </c>
      <c r="P448" s="20">
        <v>6649</v>
      </c>
      <c r="Q448" s="18" t="s">
        <v>1665</v>
      </c>
      <c r="R448" s="17" t="s">
        <v>941</v>
      </c>
      <c r="S448" s="17" t="s">
        <v>941</v>
      </c>
      <c r="T448" s="17"/>
    </row>
    <row r="449" s="1" customFormat="1" ht="87" spans="1:20">
      <c r="A449" s="17">
        <f t="shared" si="58"/>
        <v>444</v>
      </c>
      <c r="B449" s="17" t="s">
        <v>41</v>
      </c>
      <c r="C449" s="19" t="s">
        <v>41</v>
      </c>
      <c r="D449" s="19" t="s">
        <v>41</v>
      </c>
      <c r="E449" s="16" t="s">
        <v>1666</v>
      </c>
      <c r="F449" s="18" t="s">
        <v>1667</v>
      </c>
      <c r="G449" s="16" t="s">
        <v>913</v>
      </c>
      <c r="H449" s="20" t="s">
        <v>939</v>
      </c>
      <c r="I449" s="16">
        <f t="shared" si="55"/>
        <v>50</v>
      </c>
      <c r="J449" s="16">
        <v>50</v>
      </c>
      <c r="K449" s="16"/>
      <c r="L449" s="16" t="s">
        <v>139</v>
      </c>
      <c r="M449" s="16">
        <v>50</v>
      </c>
      <c r="N449" s="16">
        <v>120</v>
      </c>
      <c r="O449" s="16">
        <v>50</v>
      </c>
      <c r="P449" s="20">
        <v>120</v>
      </c>
      <c r="Q449" s="18" t="s">
        <v>1668</v>
      </c>
      <c r="R449" s="17" t="s">
        <v>941</v>
      </c>
      <c r="S449" s="17" t="s">
        <v>941</v>
      </c>
      <c r="T449" s="17"/>
    </row>
    <row r="450" s="1" customFormat="1" ht="87" spans="1:20">
      <c r="A450" s="17">
        <f t="shared" si="58"/>
        <v>445</v>
      </c>
      <c r="B450" s="17" t="s">
        <v>41</v>
      </c>
      <c r="C450" s="17" t="s">
        <v>41</v>
      </c>
      <c r="D450" s="17" t="s">
        <v>41</v>
      </c>
      <c r="E450" s="17" t="s">
        <v>1669</v>
      </c>
      <c r="F450" s="21" t="s">
        <v>1670</v>
      </c>
      <c r="G450" s="17" t="s">
        <v>913</v>
      </c>
      <c r="H450" s="17" t="s">
        <v>939</v>
      </c>
      <c r="I450" s="16">
        <f t="shared" si="55"/>
        <v>3.96</v>
      </c>
      <c r="J450" s="17"/>
      <c r="K450" s="17">
        <v>3.96</v>
      </c>
      <c r="L450" s="17" t="s">
        <v>139</v>
      </c>
      <c r="M450" s="17">
        <v>149</v>
      </c>
      <c r="N450" s="17">
        <v>197</v>
      </c>
      <c r="O450" s="17">
        <v>149</v>
      </c>
      <c r="P450" s="17">
        <v>197</v>
      </c>
      <c r="Q450" s="21" t="s">
        <v>1670</v>
      </c>
      <c r="R450" s="17" t="s">
        <v>972</v>
      </c>
      <c r="S450" s="17" t="s">
        <v>972</v>
      </c>
      <c r="T450" s="17"/>
    </row>
  </sheetData>
  <sheetProtection formatCells="0" insertHyperlinks="0" autoFilter="0"/>
  <protectedRanges>
    <protectedRange sqref="S89" name="Range2_3_1"/>
    <protectedRange sqref="E88:E89" name="Range2_6"/>
    <protectedRange sqref="M89:O89" name="Range2_2_1"/>
    <protectedRange sqref="F88:F89" name="Range2_9"/>
    <protectedRange sqref="C89" name="Range1_2"/>
    <protectedRange sqref="G89:G90" name="Range2_2"/>
    <protectedRange sqref="M91" name="Range2_2_1_1"/>
    <protectedRange sqref="Q416" name="Range2_3_2"/>
    <protectedRange sqref="Q416" name="Range2_3_1_1"/>
    <protectedRange sqref="E416:E417" name="Range1_3_1"/>
    <protectedRange sqref="D416 D417" name="Range2_6_1"/>
    <protectedRange sqref="H416" name="Range2_1_2_1"/>
    <protectedRange sqref="K416:M416" name="Range2_2_1_2_1"/>
    <protectedRange sqref="K89" name="Range2"/>
    <protectedRange sqref="H89:H91" name="Range2_5"/>
    <protectedRange sqref="I89:I90" name="Range2_2_2"/>
    <protectedRange sqref="M89:O89" name="Range2_7"/>
    <protectedRange sqref="O91" name="Range2_2_1_1_1"/>
    <protectedRange sqref="Q90" name="Range2_1_1"/>
    <protectedRange sqref="S416" name="Range2_3"/>
    <protectedRange sqref="S416" name="Range2_3_1_2"/>
    <protectedRange sqref="G416:G417" name="Range1_3"/>
    <protectedRange sqref="H416:H417" name="Range2_5_1"/>
    <protectedRange sqref="E416" name="Range2_6_2"/>
    <protectedRange sqref="I416" name="Range2_2_1_2"/>
    <protectedRange sqref="J416" name="Range2_1_2"/>
    <protectedRange sqref="M416:O416" name="Range2_2_1_2_2"/>
    <protectedRange sqref="O417" name="Range2_2_1_1_1_1"/>
    <protectedRange sqref="Q416" name="Range2_1_1_1"/>
    <protectedRange sqref="F416" name="Range2_9_2"/>
    <protectedRange sqref="E365" name="Range2_6_1_1"/>
  </protectedRanges>
  <mergeCells count="17">
    <mergeCell ref="A1:B1"/>
    <mergeCell ref="A2:T2"/>
    <mergeCell ref="G3:H3"/>
    <mergeCell ref="I3:K3"/>
    <mergeCell ref="M3:N3"/>
    <mergeCell ref="O3:P3"/>
    <mergeCell ref="A3:A4"/>
    <mergeCell ref="B3:B4"/>
    <mergeCell ref="C3:C4"/>
    <mergeCell ref="D3:D4"/>
    <mergeCell ref="E3:E4"/>
    <mergeCell ref="F3:F4"/>
    <mergeCell ref="L3:L4"/>
    <mergeCell ref="Q3:Q4"/>
    <mergeCell ref="R3:R4"/>
    <mergeCell ref="S3:S4"/>
    <mergeCell ref="T3:T4"/>
  </mergeCells>
  <conditionalFormatting sqref="D15">
    <cfRule type="expression" dxfId="0" priority="75">
      <formula>D15&lt;&gt;#REF!</formula>
    </cfRule>
  </conditionalFormatting>
  <conditionalFormatting sqref="R15">
    <cfRule type="expression" dxfId="0" priority="74">
      <formula>R15&lt;&gt;#REF!</formula>
    </cfRule>
  </conditionalFormatting>
  <conditionalFormatting sqref="B28:D28">
    <cfRule type="expression" dxfId="0" priority="68">
      <formula>B28&lt;&gt;#REF!</formula>
    </cfRule>
  </conditionalFormatting>
  <conditionalFormatting sqref="B68:D68">
    <cfRule type="expression" dxfId="0" priority="67">
      <formula>B68&lt;&gt;#REF!</formula>
    </cfRule>
  </conditionalFormatting>
  <conditionalFormatting sqref="E68">
    <cfRule type="expression" dxfId="0" priority="66">
      <formula>E68&lt;&gt;#REF!</formula>
    </cfRule>
  </conditionalFormatting>
  <conditionalFormatting sqref="F68">
    <cfRule type="expression" dxfId="0" priority="65">
      <formula>F68&lt;&gt;#REF!</formula>
    </cfRule>
  </conditionalFormatting>
  <conditionalFormatting sqref="G68:H68">
    <cfRule type="expression" dxfId="0" priority="64">
      <formula>G68&lt;&gt;#REF!</formula>
    </cfRule>
  </conditionalFormatting>
  <conditionalFormatting sqref="J68:K68">
    <cfRule type="expression" dxfId="0" priority="63">
      <formula>J68&lt;&gt;#REF!</formula>
    </cfRule>
  </conditionalFormatting>
  <conditionalFormatting sqref="M68:P68">
    <cfRule type="expression" dxfId="0" priority="62">
      <formula>M68&lt;&gt;#REF!</formula>
    </cfRule>
  </conditionalFormatting>
  <conditionalFormatting sqref="Q68:S68">
    <cfRule type="expression" dxfId="0" priority="61">
      <formula>Q68&lt;&gt;#REF!</formula>
    </cfRule>
  </conditionalFormatting>
  <conditionalFormatting sqref="B119:D119">
    <cfRule type="expression" dxfId="0" priority="41">
      <formula>B119&lt;&gt;#REF!</formula>
    </cfRule>
  </conditionalFormatting>
  <conditionalFormatting sqref="E119">
    <cfRule type="expression" dxfId="0" priority="22">
      <formula>E119&lt;&gt;#REF!</formula>
    </cfRule>
  </conditionalFormatting>
  <conditionalFormatting sqref="F119">
    <cfRule type="expression" dxfId="0" priority="21">
      <formula>F119&lt;&gt;#REF!</formula>
    </cfRule>
  </conditionalFormatting>
  <conditionalFormatting sqref="G119:H119">
    <cfRule type="expression" dxfId="0" priority="37">
      <formula>G119&lt;&gt;#REF!</formula>
    </cfRule>
  </conditionalFormatting>
  <conditionalFormatting sqref="J119">
    <cfRule type="expression" dxfId="0" priority="33">
      <formula>J119&lt;&gt;#REF!</formula>
    </cfRule>
  </conditionalFormatting>
  <conditionalFormatting sqref="L119:Q119">
    <cfRule type="expression" dxfId="0" priority="27">
      <formula>L119&lt;&gt;#REF!</formula>
    </cfRule>
  </conditionalFormatting>
  <conditionalFormatting sqref="R119:S119">
    <cfRule type="expression" dxfId="0" priority="26">
      <formula>R119&lt;&gt;#REF!</formula>
    </cfRule>
  </conditionalFormatting>
  <conditionalFormatting sqref="B120:D120">
    <cfRule type="expression" dxfId="0" priority="42">
      <formula>B120&lt;&gt;#REF!</formula>
    </cfRule>
  </conditionalFormatting>
  <conditionalFormatting sqref="E120:F120">
    <cfRule type="expression" dxfId="0" priority="24">
      <formula>E120&lt;&gt;#REF!</formula>
    </cfRule>
  </conditionalFormatting>
  <conditionalFormatting sqref="G120:H120">
    <cfRule type="expression" dxfId="0" priority="39">
      <formula>G120&lt;&gt;#REF!</formula>
    </cfRule>
  </conditionalFormatting>
  <conditionalFormatting sqref="J120">
    <cfRule type="expression" dxfId="0" priority="35">
      <formula>J120&lt;&gt;#REF!</formula>
    </cfRule>
  </conditionalFormatting>
  <conditionalFormatting sqref="L120:S120">
    <cfRule type="expression" dxfId="0" priority="31">
      <formula>L120&lt;&gt;#REF!</formula>
    </cfRule>
  </conditionalFormatting>
  <conditionalFormatting sqref="B121:D121">
    <cfRule type="expression" dxfId="0" priority="53">
      <formula>B121&lt;&gt;#REF!</formula>
    </cfRule>
  </conditionalFormatting>
  <conditionalFormatting sqref="E121:H121">
    <cfRule type="expression" dxfId="0" priority="52">
      <formula>E121&lt;&gt;#REF!</formula>
    </cfRule>
  </conditionalFormatting>
  <conditionalFormatting sqref="J121:S121">
    <cfRule type="expression" dxfId="0" priority="51">
      <formula>J121&lt;&gt;#REF!</formula>
    </cfRule>
  </conditionalFormatting>
  <conditionalFormatting sqref="T138">
    <cfRule type="expression" dxfId="0" priority="13">
      <formula>T138&lt;&gt;#REF!</formula>
    </cfRule>
  </conditionalFormatting>
  <conditionalFormatting sqref="B167:D167">
    <cfRule type="expression" dxfId="0" priority="92">
      <formula>B167&lt;&gt;#REF!</formula>
    </cfRule>
  </conditionalFormatting>
  <conditionalFormatting sqref="E167">
    <cfRule type="expression" dxfId="0" priority="91">
      <formula>E167&lt;&gt;#REF!</formula>
    </cfRule>
  </conditionalFormatting>
  <conditionalFormatting sqref="F167">
    <cfRule type="expression" dxfId="0" priority="90">
      <formula>F167&lt;&gt;#REF!</formula>
    </cfRule>
  </conditionalFormatting>
  <conditionalFormatting sqref="G167:H167">
    <cfRule type="expression" dxfId="0" priority="89">
      <formula>G167&lt;&gt;#REF!</formula>
    </cfRule>
  </conditionalFormatting>
  <conditionalFormatting sqref="J167:K167">
    <cfRule type="expression" dxfId="0" priority="88">
      <formula>J167&lt;&gt;#REF!</formula>
    </cfRule>
  </conditionalFormatting>
  <conditionalFormatting sqref="M167:P167">
    <cfRule type="expression" dxfId="0" priority="87">
      <formula>M167&lt;&gt;#REF!</formula>
    </cfRule>
  </conditionalFormatting>
  <conditionalFormatting sqref="Q167">
    <cfRule type="expression" dxfId="0" priority="86">
      <formula>Q167&lt;&gt;#REF!</formula>
    </cfRule>
  </conditionalFormatting>
  <conditionalFormatting sqref="J181:Q181">
    <cfRule type="expression" dxfId="0" priority="93">
      <formula>J181&lt;&gt;#REF!</formula>
    </cfRule>
  </conditionalFormatting>
  <conditionalFormatting sqref="B190:D190">
    <cfRule type="expression" dxfId="0" priority="79">
      <formula>B190&lt;&gt;#REF!</formula>
    </cfRule>
  </conditionalFormatting>
  <conditionalFormatting sqref="E198:F198">
    <cfRule type="expression" dxfId="0" priority="25">
      <formula>E198&lt;&gt;#REF!</formula>
    </cfRule>
  </conditionalFormatting>
  <conditionalFormatting sqref="G198:H198">
    <cfRule type="expression" dxfId="0" priority="40">
      <formula>G198&lt;&gt;#REF!</formula>
    </cfRule>
  </conditionalFormatting>
  <conditionalFormatting sqref="J198">
    <cfRule type="expression" dxfId="0" priority="36">
      <formula>J198&lt;&gt;#REF!</formula>
    </cfRule>
  </conditionalFormatting>
  <conditionalFormatting sqref="L198:S198">
    <cfRule type="expression" dxfId="0" priority="32">
      <formula>L198&lt;&gt;#REF!</formula>
    </cfRule>
  </conditionalFormatting>
  <conditionalFormatting sqref="R207">
    <cfRule type="expression" dxfId="0" priority="77">
      <formula>R207&lt;&gt;#REF!</formula>
    </cfRule>
  </conditionalFormatting>
  <conditionalFormatting sqref="R208">
    <cfRule type="expression" dxfId="0" priority="76">
      <formula>R208&lt;&gt;#REF!</formula>
    </cfRule>
  </conditionalFormatting>
  <conditionalFormatting sqref="B218:D218">
    <cfRule type="expression" dxfId="0" priority="60">
      <formula>B218&lt;&gt;#REF!</formula>
    </cfRule>
  </conditionalFormatting>
  <conditionalFormatting sqref="B288:D288">
    <cfRule type="expression" dxfId="0" priority="56">
      <formula>B288&lt;&gt;#REF!</formula>
    </cfRule>
  </conditionalFormatting>
  <conditionalFormatting sqref="E288:H288">
    <cfRule type="expression" dxfId="0" priority="57">
      <formula>E288&lt;&gt;#REF!</formula>
    </cfRule>
  </conditionalFormatting>
  <conditionalFormatting sqref="L288">
    <cfRule type="expression" dxfId="0" priority="55">
      <formula>L288&lt;&gt;#REF!</formula>
    </cfRule>
  </conditionalFormatting>
  <conditionalFormatting sqref="B334:D334">
    <cfRule type="expression" dxfId="0" priority="84">
      <formula>B334&lt;&gt;#REF!</formula>
    </cfRule>
  </conditionalFormatting>
  <conditionalFormatting sqref="E334:H334">
    <cfRule type="expression" dxfId="0" priority="83">
      <formula>E334&lt;&gt;#REF!</formula>
    </cfRule>
  </conditionalFormatting>
  <conditionalFormatting sqref="J334:K334">
    <cfRule type="expression" dxfId="0" priority="82">
      <formula>J334&lt;&gt;#REF!</formula>
    </cfRule>
  </conditionalFormatting>
  <conditionalFormatting sqref="L334:S334">
    <cfRule type="expression" dxfId="0" priority="81">
      <formula>L334&lt;&gt;#REF!</formula>
    </cfRule>
  </conditionalFormatting>
  <conditionalFormatting sqref="E357:F357">
    <cfRule type="expression" dxfId="0" priority="23">
      <formula>E357&lt;&gt;#REF!</formula>
    </cfRule>
  </conditionalFormatting>
  <conditionalFormatting sqref="G357:H357">
    <cfRule type="expression" dxfId="0" priority="38">
      <formula>G357&lt;&gt;#REF!</formula>
    </cfRule>
  </conditionalFormatting>
  <conditionalFormatting sqref="J357">
    <cfRule type="expression" dxfId="0" priority="34">
      <formula>J357&lt;&gt;#REF!</formula>
    </cfRule>
  </conditionalFormatting>
  <conditionalFormatting sqref="L357:P357">
    <cfRule type="expression" dxfId="0" priority="28">
      <formula>L357&lt;&gt;#REF!</formula>
    </cfRule>
  </conditionalFormatting>
  <conditionalFormatting sqref="Q357">
    <cfRule type="expression" dxfId="0" priority="29">
      <formula>Q357&lt;&gt;#REF!</formula>
    </cfRule>
  </conditionalFormatting>
  <conditionalFormatting sqref="R357:S357">
    <cfRule type="expression" dxfId="0" priority="30">
      <formula>R357&lt;&gt;#REF!</formula>
    </cfRule>
  </conditionalFormatting>
  <conditionalFormatting sqref="B366:C366">
    <cfRule type="expression" dxfId="0" priority="70">
      <formula>B366&lt;&gt;#REF!</formula>
    </cfRule>
  </conditionalFormatting>
  <conditionalFormatting sqref="R403">
    <cfRule type="expression" dxfId="0" priority="50">
      <formula>R403&lt;&gt;#REF!</formula>
    </cfRule>
  </conditionalFormatting>
  <conditionalFormatting sqref="D411">
    <cfRule type="expression" dxfId="0" priority="11">
      <formula>D411&lt;&gt;#REF!</formula>
    </cfRule>
  </conditionalFormatting>
  <conditionalFormatting sqref="E411">
    <cfRule type="expression" dxfId="0" priority="10">
      <formula>E411&lt;&gt;#REF!</formula>
    </cfRule>
  </conditionalFormatting>
  <conditionalFormatting sqref="F411">
    <cfRule type="expression" dxfId="0" priority="8">
      <formula>F411&lt;&gt;#REF!</formula>
    </cfRule>
  </conditionalFormatting>
  <conditionalFormatting sqref="M411:Q411">
    <cfRule type="expression" dxfId="0" priority="6">
      <formula>M411&lt;&gt;#REF!</formula>
    </cfRule>
  </conditionalFormatting>
  <conditionalFormatting sqref="R411:S411">
    <cfRule type="expression" dxfId="0" priority="7">
      <formula>R411&lt;&gt;#REF!</formula>
    </cfRule>
  </conditionalFormatting>
  <conditionalFormatting sqref="D412">
    <cfRule type="expression" dxfId="0" priority="5">
      <formula>D412&lt;&gt;#REF!</formula>
    </cfRule>
  </conditionalFormatting>
  <conditionalFormatting sqref="G412:H412">
    <cfRule type="expression" dxfId="0" priority="4">
      <formula>G412&lt;&gt;#REF!</formula>
    </cfRule>
  </conditionalFormatting>
  <conditionalFormatting sqref="L412">
    <cfRule type="expression" dxfId="0" priority="3">
      <formula>L412&lt;&gt;#REF!</formula>
    </cfRule>
  </conditionalFormatting>
  <conditionalFormatting sqref="M412:Q412">
    <cfRule type="expression" dxfId="0" priority="2">
      <formula>M412&lt;&gt;#REF!</formula>
    </cfRule>
  </conditionalFormatting>
  <conditionalFormatting sqref="R412:S412">
    <cfRule type="expression" dxfId="0" priority="1">
      <formula>R412&lt;&gt;#REF!</formula>
    </cfRule>
  </conditionalFormatting>
  <conditionalFormatting sqref="R433">
    <cfRule type="expression" dxfId="0" priority="49">
      <formula>R433&lt;&gt;#REF!</formula>
    </cfRule>
  </conditionalFormatting>
  <conditionalFormatting sqref="B437:D437">
    <cfRule type="expression" dxfId="0" priority="14">
      <formula>B437&lt;&gt;#REF!</formula>
    </cfRule>
  </conditionalFormatting>
  <conditionalFormatting sqref="D407:D410">
    <cfRule type="expression" dxfId="0" priority="18">
      <formula>D407&lt;&gt;#REF!</formula>
    </cfRule>
  </conditionalFormatting>
  <conditionalFormatting sqref="E407:E410">
    <cfRule type="expression" dxfId="0" priority="20">
      <formula>E407&lt;&gt;#REF!</formula>
    </cfRule>
  </conditionalFormatting>
  <conditionalFormatting sqref="F407:F410">
    <cfRule type="expression" dxfId="0" priority="19">
      <formula>F407&lt;&gt;#REF!</formula>
    </cfRule>
  </conditionalFormatting>
  <conditionalFormatting sqref="A1:D6 B7:D14 B16:H24 B26:H27 B29:H67 B69:H107 E1:H14 I1:T6 J7:T14 T15 J16:T21 I7:I21 I22:T23 J24:T24 T25 J26:T27 T28 J29:T67 I24:I70 T68 J69:T70 I71:T107 T108 I108:I203 T110:T111 T114 B122:H132 J122:T132 B139:H141 B143:H147 B150:H166 B168:H170 J139:T141 T142 J143:T147 T148:T149 J150:T166 R167:T167 J168:T170 T172 A7:A450 B177:H181 B191:H197 B185:H189 J177:T180 T181:T182 J185:T189 T190 J191:T197 B212:T217 B199:H204 I205:I211 I218:I230 T207:T210 I204:T204 J199:T203 B226:H263 B220:H224 I231:T263 J220:T224 T225 J226:T230 B264:T277 I278:I288 T282 B289:T292 B335:H337 B301:H333 I329:I366 I293:I300 J335:T337 I301:T328 T346 J329:T333 T334 B349:H350 B352:H355 J349:T350 J352:T355 B358:H365 B367:D386 E367:H378 E379:T386 I367:T376 I377:Q378 S377:T378 T366 J358:T365 B387:T392 I393:I413 T405:T406 T398 I419:I450 B413:H431 J419:T431 J413:T413 I414:T418">
    <cfRule type="expression" dxfId="0" priority="94">
      <formula>A1&lt;&gt;#REF!</formula>
    </cfRule>
  </conditionalFormatting>
  <conditionalFormatting sqref="B25:H25 J25:S25">
    <cfRule type="expression" dxfId="0" priority="71">
      <formula>B25&lt;&gt;#REF!</formula>
    </cfRule>
  </conditionalFormatting>
  <conditionalFormatting sqref="E28:H28 J28:S28">
    <cfRule type="expression" dxfId="0" priority="69">
      <formula>E28&lt;&gt;#REF!</formula>
    </cfRule>
  </conditionalFormatting>
  <conditionalFormatting sqref="B142:H142 J142:S142">
    <cfRule type="expression" dxfId="1" priority="80">
      <formula>B142&lt;&gt;#REF!</formula>
    </cfRule>
  </conditionalFormatting>
  <conditionalFormatting sqref="B148:H148 R148:S148 J148:P148">
    <cfRule type="expression" dxfId="0" priority="73">
      <formula>B148&lt;&gt;#REF!</formula>
    </cfRule>
  </conditionalFormatting>
  <conditionalFormatting sqref="B149:H149 R149:S149 J149:P149">
    <cfRule type="expression" dxfId="0" priority="72">
      <formula>B149&lt;&gt;#REF!</formula>
    </cfRule>
  </conditionalFormatting>
  <conditionalFormatting sqref="E176:H176 J176:S176">
    <cfRule type="expression" dxfId="0" priority="12">
      <formula>E176&lt;&gt;#REF!</formula>
    </cfRule>
  </conditionalFormatting>
  <conditionalFormatting sqref="E190:H190 J190:M190 Q190:S190">
    <cfRule type="expression" dxfId="0" priority="78">
      <formula>E190&lt;&gt;#REF!</formula>
    </cfRule>
  </conditionalFormatting>
  <conditionalFormatting sqref="B198 D198">
    <cfRule type="expression" dxfId="0" priority="43">
      <formula>B198&lt;&gt;#REF!</formula>
    </cfRule>
  </conditionalFormatting>
  <conditionalFormatting sqref="B225:H225 J225:S225">
    <cfRule type="expression" dxfId="0" priority="85">
      <formula>B225&lt;&gt;#REF!</formula>
    </cfRule>
  </conditionalFormatting>
  <conditionalFormatting sqref="J288:K288 M288:S288">
    <cfRule type="expression" dxfId="0" priority="54">
      <formula>J288&lt;&gt;#REF!</formula>
    </cfRule>
  </conditionalFormatting>
  <conditionalFormatting sqref="G407:H410">
    <cfRule type="expression" dxfId="0" priority="17">
      <formula>G407&lt;&gt;#REF!</formula>
    </cfRule>
  </conditionalFormatting>
  <conditionalFormatting sqref="L407:Q410">
    <cfRule type="expression" dxfId="0" priority="16">
      <formula>L407&lt;&gt;#REF!</formula>
    </cfRule>
  </conditionalFormatting>
  <conditionalFormatting sqref="R407:S410">
    <cfRule type="expression" dxfId="0" priority="15">
      <formula>R407&lt;&gt;#REF!</formula>
    </cfRule>
  </conditionalFormatting>
  <conditionalFormatting sqref="G411:H411 J411:L411">
    <cfRule type="expression" dxfId="0" priority="9">
      <formula>G411&lt;&gt;#REF!</formula>
    </cfRule>
  </conditionalFormatting>
  <dataValidations count="2">
    <dataValidation type="list" allowBlank="1" showInputMessage="1" showErrorMessage="1" sqref="L2">
      <formula1>#REF!</formula1>
    </dataValidation>
    <dataValidation allowBlank="1" showErrorMessage="1" sqref="L83 L225:M225 O225 D229 K229 B354 B413 B38:B43 B70:B71 B86:B87 B106:B107 B168:B169 B227:B229 B369:B373 D38:D43 D70:D71 D106:D107 D168:D169 D369:D371 L70:L71 L416:L417 O220:O221 L220:M221" errorStyle="information"/>
  </dataValidations>
  <pageMargins left="0.751388888888889" right="0.751388888888889" top="1" bottom="1" header="0.5" footer="0.5"/>
  <pageSetup paperSize="8" scale="64" firstPageNumber="7" fitToHeight="0" orientation="landscape" useFirstPageNumber="1" horizontalDpi="600"/>
  <headerFooter differentOddEven="1">
    <oddFooter>&amp;R&amp;14— &amp;P —</oddFooter>
    <evenFooter>&amp;L&amp;14— &amp;P —</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allowEditUser xmlns="https://web.wps.cn/et/2018/main" xmlns:s="http://schemas.openxmlformats.org/spreadsheetml/2006/main" hasInvisiblePropRange="0">
  <rangeList sheetStid="1" master="413606937">
    <arrUserId title="Range1" rangeCreator="413606937" othersAccessPermission="visible">
      <userID accessPermission="edit">413606937</userID>
    </arrUserId>
  </rangeList>
  <rangeList sheetStid="2" master="">
    <arrUserId title="Range2_3_1" rangeCreator="" othersAccessPermission="edit"/>
    <arrUserId title="Range2_6" rangeCreator="" othersAccessPermission="edit"/>
    <arrUserId title="Range2_2_1" rangeCreator="" othersAccessPermission="edit"/>
    <arrUserId title="Range2_9" rangeCreator="" othersAccessPermission="edit"/>
    <arrUserId title="Range1_2" rangeCreator="" othersAccessPermission="edit"/>
    <arrUserId title="Range2_2" rangeCreator="" othersAccessPermission="edit"/>
    <arrUserId title="Range2_2_1_1" rangeCreator="" othersAccessPermission="edit"/>
    <arrUserId title="Range2_3_2" rangeCreator="" othersAccessPermission="edit"/>
    <arrUserId title="Range2_3_1_1" rangeCreator="" othersAccessPermission="edit"/>
    <arrUserId title="Range1_3_1" rangeCreator="" othersAccessPermission="edit"/>
    <arrUserId title="Range2_6_1" rangeCreator="" othersAccessPermission="edit"/>
    <arrUserId title="Range2_1_2_1" rangeCreator="" othersAccessPermission="edit"/>
    <arrUserId title="Range2_2_1_2_1" rangeCreator="" othersAccessPermission="edit"/>
    <arrUserId title="Range2" rangeCreator="" othersAccessPermission="edit"/>
    <arrUserId title="Range2_5" rangeCreator="" othersAccessPermission="edit"/>
    <arrUserId title="Range2_2_2" rangeCreator="" othersAccessPermission="edit"/>
    <arrUserId title="Range2_7" rangeCreator="" othersAccessPermission="edit"/>
    <arrUserId title="Range2_2_1_1_1" rangeCreator="" othersAccessPermission="edit"/>
    <arrUserId title="Range2_1_1" rangeCreator="" othersAccessPermission="edit"/>
    <arrUserId title="Range2_3" rangeCreator="" othersAccessPermission="edit"/>
    <arrUserId title="Range2_3_1_2" rangeCreator="" othersAccessPermission="edit"/>
    <arrUserId title="Range1_3" rangeCreator="" othersAccessPermission="edit"/>
    <arrUserId title="Range2_5_1" rangeCreator="" othersAccessPermission="edit"/>
    <arrUserId title="Range2_6_2" rangeCreator="" othersAccessPermission="edit"/>
    <arrUserId title="Range2_2_1_2" rangeCreator="" othersAccessPermission="edit"/>
    <arrUserId title="Range2_1_2" rangeCreator="" othersAccessPermission="edit"/>
    <arrUserId title="Range2_2_1_2_2" rangeCreator="" othersAccessPermission="edit"/>
    <arrUserId title="Range2_2_1_1_1_1" rangeCreator="" othersAccessPermission="edit"/>
    <arrUserId title="Range2_1_1_1" rangeCreator="" othersAccessPermission="edit"/>
    <arrUserId title="Range2_9_2" rangeCreator="" othersAccessPermission="edit"/>
    <arrUserId title="Range2_6_1_1" rangeCreator="" othersAccessPermission="edit"/>
  </rangeList>
</allowEditUser>
</file>

<file path=customXml/item2.xml>��< ? x m l   v e r s i o n = " 1 . 0 "   s t a n d a l o n e = " y e s " ? > < a u t o f i l t e r s   x m l n s = " h t t p s : / / w e b . w p s . c n / e t / 2 0 1 8 / m a i n " > < s h e e t I t e m   s h e e t S t i d = " 2 " > < f i l t e r D a t a   f i l t e r I D = " 3 8 9 6 9 0 4 9 6 " > < h i d d e n R a n g e   r o w F r o m = " 5 "   r o w T o = " 1 3 " / > < h i d d e n R a n g e   r o w F r o m = " 1 5 "   r o w T o = " 1 1 5 " / > < h i d d e n R a n g e   r o w F r o m = " 1 1 7 "   r o w T o = " 1 1 9 " / > < h i d d e n R a n g e   r o w F r o m = " 1 2 1 "   r o w T o = " 1 2 9 " / > < h i d d e n R a n g e   r o w F r o m = " 1 3 4 "   r o w T o = " 1 6 8 " / > < h i d d e n R a n g e   r o w F r o m = " 1 7 0 "   r o w T o = " 1 8 2 " / > < h i d d e n R a n g e   r o w F r o m = " 1 8 4 "   r o w T o = " 1 9 8 " / > < h i d d e n R a n g e   r o w F r o m = " 2 0 1 "   r o w T o = " 3 9 3 " / > < h i d d e n R a n g e   r o w F r o m = " 3 9 5 "   r o w T o = " 4 1 9 " / > < h i d d e n R a n g e   r o w F r o m = " 4 2 1 "   r o w T o = " 4 3 4 " / > < / f i l t e r D a t a > < f i l t e r D a t a   f i l t e r I D = " 3 0 3 5 8 4 3 0 4 " > < h i d d e n R a n g e   r o w F r o m = " 1 2 "   r o w T o = " 2 1 " / > < h i d d e n R a n g e   r o w F r o m = " 2 3 "   r o w T o = " 7 5 " / > < h i d d e n R a n g e   r o w F r o m = " 7 9 "   r o w T o = " 1 1 0 " / > < h i d d e n R a n g e   r o w F r o m = " 1 1 2 "   r o w T o = " 1 3 4 " / > < h i d d e n R a n g e   r o w F r o m = " 1 3 6 "   r o w T o = " 1 6 8 " / > < h i d d e n R a n g e   r o w F r o m = " 1 7 0 "   r o w T o = " 1 7 7 " / > < h i d d e n R a n g e   r o w F r o m = " 1 7 9 "   r o w T o = " 1 8 9 " / > < h i d d e n R a n g e   r o w F r o m = " 1 9 1 "   r o w T o = " 2 0 2 " / > < h i d d e n R a n g e   r o w F r o m = " 2 0 4 "   r o w T o = " 2 0 6 " / > < h i d d e n R a n g e   r o w F r o m = " 2 0 8 "   r o w T o = " 2 9 2 " / > < h i d d e n R a n g e   r o w F r o m = " 2 9 4 "   r o w T o = " 2 9 4 " / > < h i d d e n R a n g e   r o w F r o m = " 2 9 6 "   r o w T o = " 4 3 4 " / > < / f i l t e r D a t a > < f i l t e r D a t a   f i l t e r I D = " 4 3 1 9 9 9 6 1 3 " / > < f i l t e r D a t a   f i l t e r I D = " 9 6 6 3 2 2 3 2 3 " / > < f i l t e r D a t a   f i l t e r I D = " 1 2 7 9 0 8 6 0 4 6 " / > < f i l t e r D a t a   f i l t e r I D = " 4 1 3 6 0 6 9 3 7 " / > < f i l t e r D a t a   f i l t e r I D = " 4 5 7 0 6 4 1 3 7 " > < h i d d e n R a n g e   r o w F r o m = " 5 "   r o w T o = " 2 9 " / > < h i d d e n R a n g e   r o w F r o m = " 3 7 "   r o w T o = " 8 5 " / > < h i d d e n R a n g e   r o w F r o m = " 8 7 "   r o w T o = " 8 7 " / > < h i d d e n R a n g e   r o w F r o m = " 9 2 "   r o w T o = " 1 2 3 " / > < h i d d e n R a n g e   r o w F r o m = " 1 2 5 "   r o w T o = " 1 6 8 " / > < h i d d e n R a n g e   r o w F r o m = " 1 7 2 "   r o w T o = " 1 7 5 " / > < h i d d e n R a n g e   r o w F r o m = " 1 7 7 "   r o w T o = " 2 2 9 " / > < h i d d e n R a n g e   r o w F r o m = " 2 3 5 "   r o w T o = " 2 3 9 " / > < h i d d e n R a n g e   r o w F r o m = " 2 4 1 "   r o w T o = " 2 5 7 " / > < h i d d e n R a n g e   r o w F r o m = " 2 6 0 "   r o w T o = " 2 6 0 " / > < h i d d e n R a n g e   r o w F r o m = " 2 6 2 "   r o w T o = " 2 6 9 " / > < h i d d e n R a n g e   r o w F r o m = " 2 7 1 "   r o w T o = " 2 8 3 " / > < h i d d e n R a n g e   r o w F r o m = " 2 8 5 "   r o w T o = " 3 1 9 " / > < h i d d e n R a n g e   r o w F r o m = " 3 2 2 "   r o w T o = " 3 4 7 " / > < h i d d e n R a n g e   r o w F r o m = " 3 4 9 "   r o w T o = " 3 6 4 " / > < h i d d e n R a n g e   r o w F r o m = " 3 6 7 "   r o w T o = " 3 7 6 " / > < h i d d e n R a n g e   r o w F r o m = " 3 7 8 "   r o w T o = " 3 9 0 " / > < h i d d e n R a n g e   r o w F r o m = " 3 9 4 "   r o w T o = " 4 2 0 " / > < h i d d e n R a n g e   r o w F r o m = " 4 2 2 "   r o w T o = " 4 3 4 " / > < / f i l t e r D a t a > < f i l t e r D a t a   f i l t e r I D = " 4 6 6 4 3 5 5 6 1 " > < h i d d e n R a n g e   r o w F r o m = " 5 "   r o w T o = " 2 0 " / > < h i d d e n R a n g e   r o w F r o m = " 2 2 "   r o w T o = " 2 2 " / > < h i d d e n R a n g e   r o w F r o m = " 2 5 "   r o w T o = " 8 2 " / > < h i d d e n R a n g e   r o w F r o m = " 8 5 "   r o w T o = " 1 0 6 " / > < h i d d e n R a n g e   r o w F r o m = " 1 0 8 "   r o w T o = " 1 4 2 " / > < h i d d e n R a n g e   r o w F r o m = " 1 4 5 "   r o w T o = " 1 6 8 " / > < h i d d e n R a n g e   r o w F r o m = " 1 7 0 "   r o w T o = " 2 0 7 " / > < h i d d e n R a n g e   r o w F r o m = " 2 0 9 "   r o w T o = " 2 4 0 " / > < h i d d e n R a n g e   r o w F r o m = " 2 4 2 "   r o w T o = " 2 8 5 " / > < h i d d e n R a n g e   r o w F r o m = " 2 8 9 "   r o w T o = " 3 1 1 " / > < h i d d e n R a n g e   r o w F r o m = " 3 1 5 "   r o w T o = " 3 3 7 " / > < h i d d e n R a n g e   r o w F r o m = " 3 3 9 "   r o w T o = " 3 4 4 " / > < h i d d e n R a n g e   r o w F r o m = " 3 4 6 "   r o w T o = " 3 5 6 " / > < h i d d e n R a n g e   r o w F r o m = " 3 5 8 "   r o w T o = " 4 0 9 " / > < h i d d e n R a n g e   r o w F r o m = " 4 1 4 "   r o w T o = " 4 3 4 " / > < / f i l t e r D a t a > < f i l t e r D a t a   f i l t e r I D = " 2 0 7 9 2 1 0 1 5 " > < h i d d e n R a n g e   r o w F r o m = " 5 "   r o w T o = " 3 6 " / > < h i d d e n R a n g e   r o w F r o m = " 4 3 "   r o w T o = " 8 6 " / > < h i d d e n R a n g e   r o w F r o m = " 8 8 "   r o w T o = " 1 0 4 " / > < h i d d e n R a n g e   r o w F r o m = " 1 0 6 "   r o w T o = " 1 6 2 " / > < h i d d e n R a n g e   r o w F r o m = " 1 6 5 "   r o w T o = " 1 6 8 " / > < h i d d e n R a n g e   r o w F r o m = " 1 7 0 "   r o w T o = " 1 8 6 " / > < h i d d e n R a n g e   r o w F r o m = " 1 8 8 "   r o w T o = " 1 9 5 " / > < h i d d e n R a n g e   r o w F r o m = " 1 9 7 "   r o w T o = " 2 3 4 " / > < h i d d e n R a n g e   r o w F r o m = " 2 3 6 "   r o w T o = " 2 5 9 " / > < h i d d e n R a n g e   r o w F r o m = " 2 6 1 "   r o w T o = " 3 4 6 " / > < h i d d e n R a n g e   r o w F r o m = " 3 4 8 "   r o w T o = " 3 5 9 " / > < h i d d e n R a n g e   r o w F r o m = " 3 6 5 "   r o w T o = " 3 9 6 " / > < h i d d e n R a n g e   r o w F r o m = " 3 9 9 "   r o w T o = " 4 3 4 " / > < / f i l t e r D a t a > < a u t o f i l t e r I n f o   f i l t e r I D = " 3 0 3 5 8 4 3 0 4 " > < a u t o F i l t e r   x m l n s = " h t t p : / / s c h e m a s . o p e n x m l f o r m a t s . o r g / s p r e a d s h e e t m l / 2 0 0 6 / m a i n "   r e f = " A 5 : U 4 3 5 " > < f i l t e r C o l u m n   c o l I d = " 6 " > < c u s t o m F i l t e r s > < c u s t o m F i l t e r   o p e r a t o r = " e q u a l "   v a l = " �TG�" / > < / c u s t o m F i l t e r s > < / f i l t e r C o l u m n > < / a u t o F i l t e r > < / a u t o f i l t e r I n f o > < a u t o f i l t e r I n f o   f i l t e r I D = " 4 5 7 0 6 4 1 3 7 " > < a u t o F i l t e r   x m l n s = " h t t p : / / s c h e m a s . o p e n x m l f o r m a t s . o r g / s p r e a d s h e e t m l / 2 0 0 6 / m a i n "   r e f = " A 5 : U 4 3 5 " > < f i l t e r C o l u m n   c o l I d = " 6 " > < c u s t o m F i l t e r s > < c u s t o m F i l t e r   o p e r a t o r = " e q u a l "   v a l = " (g�tG�" / > < / c u s t o m F i l t e r s > < / f i l t e r C o l u m n > < / a u t o F i l t e r > < / a u t o f i l t e r I n f o > < a u t o f i l t e r I n f o   f i l t e r I D = " 4 6 6 4 3 5 5 6 1 " > < a u t o F i l t e r   x m l n s = " h t t p : / / s c h e m a s . o p e n x m l f o r m a t s . o r g / s p r e a d s h e e t m l / 2 0 0 6 / m a i n "   r e f = " A 5 : U 4 3 5 " > < f i l t e r C o l u m n   c o l I d = " 6 " > < c u s t o m F i l t e r s > < c u s t o m F i l t e r   o p e r a t o r = " e q u a l "   v a l = " 0u�[�[G�" / > < / c u s t o m F i l t e r s > < / f i l t e r C o l u m n > < / a u t o F i l t e r > < / a u t o f i l t e r I n f o > < a u t o f i l t e r I n f o   f i l t e r I D = " 2 0 7 9 2 1 0 1 5 " > < a u t o F i l t e r   x m l n s = " h t t p : / / s c h e m a s . o p e n x m l f o r m a t s . o r g / s p r e a d s h e e t m l / 2 0 0 6 / m a i n "   r e f = " A 5 : U 4 3 5 " > < f i l t e r C o l u m n   c o l I d = " 6 " > < c u s t o m F i l t e r s > < c u s t o m F i l t e r   o p e r a t o r = " e q u a l "   v a l = " 	NS��lG�" / > < / c u s t o m F i l t e r s > < / f i l t e r C o l u m n > < / a u t o F i l t e r > < / a u t o f i l t e r I n f o > < a u t o f i l t e r I n f o   f i l t e r I D = " 3 8 9 6 9 0 4 9 6 " > < a u t o F i l t e r   x m l n s = " h t t p : / / s c h e m a s . o p e n x m l f o r m a t s . o r g / s p r e a d s h e e t m l / 2 0 0 6 / m a i n "   r e f = " A 5 : U 4 3 5 " > < f i l t e r C o l u m n   c o l I d = " 6 " > < c u s t o m F i l t e r s > < c u s t o m F i l t e r   o p e r a t o r = " e q u a l "   v a l = " �xDX�QN�V:S" / > < / c u s t o m F i l t e r s > < / f i l t e r C o l u m n > < f i l t e r C o l u m n   c o l I d = " 7 " > < c u s t o m F i l t e r s > < c u s t o m F i l t e r   o p e r a t o r = " e q u a l "   v a l = " ݐ�[�[Qg" / > < / c u s t o m F i l t e r s > < / f i l t e r C o l u m n > < / a u t o F i l t e r > < / a u t o f i l t e r I n f o > < / s h e e t I t e m > < / a u t o f i l t e r s > 
</file>

<file path=customXml/item3.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1 4 5 4 2 8 3 3 "   i s D b S h e e t = " 0 "   i s D a s h B o a r d S h e e t = " 0 "   i s D b D a s h B o a r d S h e e t = " 0 "   i s F l e x P a p e r S h e e t = " 0 " > < c e l l p r o t e c t i o n / > < a p p E t D b R e l a t i o n s / > < / w o S h e e t P r o p s > < / w o S h e e t s P r o p s > < w o B o o k P r o p s > < b o o k S e t t i n g s   f i l e I d = " "   i s F i l t e r S h a r e d = " 0 "   c o r e C o n q u e r U s e r I d = " 4 1 3 6 0 6 9 3 7 "   i s A u t o U p d a t e P a u s e d = " 0 "   f i l t e r T y p e = " u s e r "   i s M e r g e T a s k s A u t o U p d a t e = " 0 "   i s I n s e r P i c A s A t t a c h m e n t = " 0 " / > < / w o B o o k P r o p s > < / w o P r o p s > 
</file>

<file path=customXml/item4.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D5662047-3127-477A-AC3A-1D340467FB41}">
  <ds:schemaRefs/>
</ds:datastoreItem>
</file>

<file path=customXml/itemProps3.xml><?xml version="1.0" encoding="utf-8"?>
<ds:datastoreItem xmlns:ds="http://schemas.openxmlformats.org/officeDocument/2006/customXml" ds:itemID="{06C82605-B75B-4693-9329-32AAD527C692}">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WWO_wpscloud_20240328185601-baa3e5ecad</Application>
  <HeadingPairs>
    <vt:vector size="2" baseType="variant">
      <vt:variant>
        <vt:lpstr>工作表</vt:lpstr>
      </vt:variant>
      <vt:variant>
        <vt:i4>2</vt:i4>
      </vt:variant>
    </vt:vector>
  </HeadingPairs>
  <TitlesOfParts>
    <vt:vector size="2" baseType="lpstr">
      <vt:lpstr>项目库汇总表</vt:lpstr>
      <vt:lpstr>项目库明细总表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Spen</cp:lastModifiedBy>
  <dcterms:created xsi:type="dcterms:W3CDTF">2023-01-31T11:11:00Z</dcterms:created>
  <dcterms:modified xsi:type="dcterms:W3CDTF">2024-05-20T01:41:45Z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BFFB9FDDD7784DB19A72D6AA53FEF7BA_13</vt:lpwstr>
  </property>
  <property fmtid="{D5CDD505-2E9C-101B-9397-08002B2CF9AE}" pid="3" name="KSOProductBuildVer">
    <vt:lpwstr>2052-12.1.0.16729</vt:lpwstr>
  </property>
  <property fmtid="{D5CDD505-2E9C-101B-9397-08002B2CF9AE}" pid="4" name="KSOReadingLayout">
    <vt:bool>true</vt:bool>
  </property>
</Properties>
</file>