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
  </bookViews>
  <sheets>
    <sheet name="项目库汇总表" sheetId="4" r:id="rId1"/>
    <sheet name="项目库明细总表" sheetId="2" r:id="rId2"/>
  </sheets>
  <definedNames>
    <definedName name="_xlnm._FilterDatabase" localSheetId="0" hidden="1">项目库汇总表!$A$5:$XFB$118</definedName>
    <definedName name="_xlnm._FilterDatabase" localSheetId="1" hidden="1">项目库明细总表!$A$5:$U$477</definedName>
    <definedName name="_xlnm.Print_Titles" localSheetId="1">项目库明细总表!$3:$4</definedName>
    <definedName name="_xlnm.Print_Titles" localSheetId="0">项目库汇总表!$4:$5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<sst xmlns="http://schemas.openxmlformats.org/spreadsheetml/2006/main" count="5853" uniqueCount="1791">
  <si>
    <t>附件1</t>
  </si>
  <si>
    <t>2025年府谷县巩固拓展脱贫攻坚成果和
乡村振兴项目库汇总表</t>
  </si>
  <si>
    <t>单位：个、万元</t>
  </si>
  <si>
    <t>项目类型</t>
  </si>
  <si>
    <t>二级项目类型</t>
  </si>
  <si>
    <t>项目子类型</t>
  </si>
  <si>
    <t>项目个数</t>
  </si>
  <si>
    <t>项目预算总投资</t>
  </si>
  <si>
    <t>备注</t>
  </si>
  <si>
    <t>合计</t>
  </si>
  <si>
    <t>1.衔接资金</t>
  </si>
  <si>
    <t>2.其他资金</t>
  </si>
  <si>
    <t>总计：</t>
  </si>
  <si>
    <t>产业发展</t>
  </si>
  <si>
    <t>合计：</t>
  </si>
  <si>
    <t>生产项目</t>
  </si>
  <si>
    <t>小计：</t>
  </si>
  <si>
    <t>种植业基地</t>
  </si>
  <si>
    <t>养殖业基地</t>
  </si>
  <si>
    <t>水产养殖业发展</t>
  </si>
  <si>
    <t>林草基地建设</t>
  </si>
  <si>
    <t>休闲农业与乡村旅游</t>
  </si>
  <si>
    <t>光伏电站建设</t>
  </si>
  <si>
    <t>加工流通项目</t>
  </si>
  <si>
    <t>农产品仓储保鲜冷链基础设施建设</t>
  </si>
  <si>
    <t>加工业</t>
  </si>
  <si>
    <t>市场建设和农村物流</t>
  </si>
  <si>
    <t>品牌打造和展销平台</t>
  </si>
  <si>
    <t>配套设施项目</t>
  </si>
  <si>
    <t>小型农田水利设施建设</t>
  </si>
  <si>
    <t>产业园（区）</t>
  </si>
  <si>
    <t>产业服务支撑项目</t>
  </si>
  <si>
    <t>智慧农业</t>
  </si>
  <si>
    <t>科技服务</t>
  </si>
  <si>
    <t>人才培养</t>
  </si>
  <si>
    <t>农业社会化服务</t>
  </si>
  <si>
    <t>金融保险配套项目</t>
  </si>
  <si>
    <t>小额贷款贴息</t>
  </si>
  <si>
    <t>小额信贷风险补偿金</t>
  </si>
  <si>
    <t>特色产业保险保费补助</t>
  </si>
  <si>
    <t>新型经营主体贷款贴息</t>
  </si>
  <si>
    <t>其他</t>
  </si>
  <si>
    <t>高质量庭院经济</t>
  </si>
  <si>
    <t>庭院特色种植</t>
  </si>
  <si>
    <t>庭院特色养植</t>
  </si>
  <si>
    <t>庭院特色手工</t>
  </si>
  <si>
    <t>庭院特色休闲旅游</t>
  </si>
  <si>
    <t>庭院生产生活服务</t>
  </si>
  <si>
    <t>就业项目</t>
  </si>
  <si>
    <t>务工补助</t>
  </si>
  <si>
    <t>交通费补助</t>
  </si>
  <si>
    <t>生产奖补、劳务补助等</t>
  </si>
  <si>
    <t>就业</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</si>
  <si>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</si>
  <si>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</si>
  <si>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</si>
  <si>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</si>
  <si>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</si>
  <si>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</si>
  <si>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</si>
  <si>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</si>
  <si>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</si>
  <si>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</si>
  <si>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</si>
  <si>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乡村建设行动</t>
  </si>
  <si>
    <t>农村基础设施
（含产业配套基础设施）</t>
  </si>
  <si>
    <t>农村道路建设（通村路、通户路、小型桥梁等）</t>
  </si>
  <si>
    <t>产业路、资源路、旅游路建设</t>
  </si>
  <si>
    <t>农村供水保障设施建设</t>
  </si>
  <si>
    <t>农村电网建设（通生产、生活用电、提高综合电压和供电可靠性）</t>
  </si>
  <si>
    <t>数字乡村建设（信息通信基础设施建设、数字化、智能化建设等）</t>
  </si>
  <si>
    <t>农村清洁能源设施建设（燃气、户用光伏、风电、水电、农村生物质能源、北方地区清洁取暖等）</t>
  </si>
  <si>
    <t>农业农村基础设施中长期贷款贴息</t>
  </si>
  <si>
    <t>人居环境整治</t>
  </si>
  <si>
    <t>农村卫生厕所改造（户用、公共厕所）</t>
  </si>
  <si>
    <t>农村污水治理</t>
  </si>
  <si>
    <t>农村垃圾治理</t>
  </si>
  <si>
    <t>村容村貌提升</t>
  </si>
  <si>
    <t>农村公共服务</t>
  </si>
  <si>
    <t>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</si>
  <si>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</si>
  <si>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</si>
  <si>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</si>
  <si>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</si>
  <si>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</si>
  <si>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村庄规划编制（含修编）</t>
  </si>
  <si>
    <t>易地搬迁后扶</t>
  </si>
  <si>
    <t>公共服务岗位</t>
  </si>
  <si>
    <t>“一站式”社区综合服务设施建设</t>
  </si>
  <si>
    <t>易地扶贫搬迁贷款债券贴息补助</t>
  </si>
  <si>
    <t>巩固三保障成果</t>
  </si>
  <si>
    <t>住房</t>
  </si>
  <si>
    <t>农村危房改造等农房改造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</si>
  <si>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</si>
  <si>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</si>
  <si>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</si>
  <si>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</si>
  <si>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</si>
  <si>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</si>
  <si>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</si>
  <si>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</si>
  <si>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</si>
  <si>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</si>
  <si>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</si>
  <si>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综合保障</t>
  </si>
  <si>
    <t>享受农村居民最低生活保障</t>
  </si>
  <si>
    <t>参加城乡居民基本养老保险</t>
  </si>
  <si>
    <t>享受特困人员救助供养</t>
  </si>
  <si>
    <t>接受留守关爱服务</t>
  </si>
  <si>
    <t>接受临时救助</t>
  </si>
  <si>
    <t>防贫保险（基金）</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</si>
  <si>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</si>
  <si>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</si>
  <si>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</si>
  <si>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</si>
  <si>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</si>
  <si>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</si>
  <si>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</si>
  <si>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</si>
  <si>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r>
      <rPr>
        <sz val="12"/>
        <color theme="1"/>
        <rFont val="宋体"/>
        <charset val="1"/>
        <scheme val="minor"/>
      </rPr>
      <t>农村文</t>
    </r>
    <r>
      <rPr>
        <sz val="12"/>
        <rFont val="宋体"/>
        <charset val="1"/>
        <scheme val="minor"/>
      </rPr>
      <t>化体育项</t>
    </r>
    <r>
      <rPr>
        <sz val="12"/>
        <color theme="1"/>
        <rFont val="宋体"/>
        <charset val="1"/>
        <scheme val="minor"/>
      </rPr>
      <t>目</t>
    </r>
  </si>
  <si>
    <t>项目管理费</t>
  </si>
  <si>
    <t>少数民族特色村寨建设项目</t>
  </si>
  <si>
    <t>困难群众饮用低氟茶</t>
  </si>
  <si>
    <t>附件2</t>
  </si>
  <si>
    <t>府谷县2025年县级巩固拓展脱贫攻坚成果和乡村振兴项目库明细表</t>
  </si>
  <si>
    <t>序号</t>
  </si>
  <si>
    <t>项目名称
（自定义名称）</t>
  </si>
  <si>
    <t>项目摘要（建设内容及规模）</t>
  </si>
  <si>
    <t>项目实施地点</t>
  </si>
  <si>
    <t>项目预投资（万元）</t>
  </si>
  <si>
    <t>是否易地搬迁后扶项目</t>
  </si>
  <si>
    <t>总受益情况</t>
  </si>
  <si>
    <t>其中：脱贫户（监测对象）受益情况</t>
  </si>
  <si>
    <t>绩效目标
（产业项目明确利益联结机制）</t>
  </si>
  <si>
    <t>项目实施单位</t>
  </si>
  <si>
    <t>行业主管部门</t>
  </si>
  <si>
    <t>实施期限</t>
  </si>
  <si>
    <t>镇/办</t>
  </si>
  <si>
    <t>村/社区</t>
  </si>
  <si>
    <t>户数</t>
  </si>
  <si>
    <t>人数</t>
  </si>
  <si>
    <t>2025年新民镇到户产业项目</t>
  </si>
  <si>
    <t>扶持全镇9户脱贫户发展到户产业，总共种植玉米46亩，高粱8亩，糜子2亩，谷子10亩，荞麦4亩，马铃薯19亩，豆类14亩，蔬菜2亩，中药材2亩，养殖本地绒山羊20只，白皮猪10头。</t>
  </si>
  <si>
    <t>新民镇</t>
  </si>
  <si>
    <t>石条墕村、桃峁村、龙王庙村、高山村</t>
  </si>
  <si>
    <t>否</t>
  </si>
  <si>
    <t>发展种养殖产业，巩固提升脱贫攻坚成果，增加脱贫户收入，预计带动脱贫户9户23人增收9万元。</t>
  </si>
  <si>
    <t>新民镇人民政府</t>
  </si>
  <si>
    <t>府谷县农业农村局</t>
  </si>
  <si>
    <t>2025年3月-2025年10月</t>
  </si>
  <si>
    <t>2025年木瓜镇到户产业奖补项目</t>
  </si>
  <si>
    <t>扶持全镇44户脱贫户（含监测对象）发展到户产业，共种植良种玉米312亩、‘晋杂22’高粱22亩、‘榆糜2号’糜子56亩、沁州黄谷子44亩、高产荞麦5亩，脱毒马铃薯46亩、本地绒山羊162只、白皮猪6头、良种肉牛2头。</t>
  </si>
  <si>
    <t>木瓜镇</t>
  </si>
  <si>
    <t>前梁村等村</t>
  </si>
  <si>
    <t>该项目建成后，户均增收2000元，受益脱贫户44户112人。</t>
  </si>
  <si>
    <t>木瓜镇人民政府</t>
  </si>
  <si>
    <t>2025年3月-2025年8月</t>
  </si>
  <si>
    <t>2025年木瓜镇到户产业奖补项目（补充）</t>
  </si>
  <si>
    <t>扶持木瓜镇监测户王候兵发展到户产业，共养殖本地绒山羊10只。</t>
  </si>
  <si>
    <t>阳坬村</t>
  </si>
  <si>
    <t>该项目建成后，王候兵户增收2000元，受益人数1户3人。</t>
  </si>
  <si>
    <t>2025年4月-2025年8月</t>
  </si>
  <si>
    <t>2025年孤山镇到户产业项目</t>
  </si>
  <si>
    <t>帮助34户脱贫户及监测户发展种植、养殖到户产业。共计种植玉米459亩，高粱15亩，糜子10亩，谷子5亩，马铃薯18亩，豆类18亩；改造经济林4亩；养殖羊子50只，猪17头，牛7头。</t>
  </si>
  <si>
    <t>孤山镇</t>
  </si>
  <si>
    <t>各涉及村</t>
  </si>
  <si>
    <t>对脱贫户、监测户发展种植养殖产业进行奖补支出，巩固34户81人脱贫户、监测户收入，确保其收入稳定增收。</t>
  </si>
  <si>
    <t>孤山镇人民政府</t>
  </si>
  <si>
    <t>2025年3月-2025年11月</t>
  </si>
  <si>
    <t>2025年庙沟门镇到户产业项目</t>
  </si>
  <si>
    <t>扶持全镇110户脱贫户（含监测对象）发展到户产业，总共种植玉米417亩，高粱10亩，谷子60亩，荞麦115亩，小杂粮21亩，马铃薯78亩，豆类4亩，养殖本地绒山羊434只，白皮猪53只，牛4头，鸡200羽。</t>
  </si>
  <si>
    <t>庙沟门镇</t>
  </si>
  <si>
    <t>各行政村</t>
  </si>
  <si>
    <t>到户类资产归脱贫户（监测对象）所有。带动脱贫户110户274人，户均增收0.5万元。</t>
  </si>
  <si>
    <t>庙沟门镇人民政府</t>
  </si>
  <si>
    <t>2025年4月-7月</t>
  </si>
  <si>
    <t>2025年田家寨镇脱贫户（含监测户）到户产业项目</t>
  </si>
  <si>
    <t>扶持李岔村、胡家沟村、刘家畔村、南门、王沙峁6个村29户脱贫户（含监测户）扶持种养殖业，包括：玉米226亩、高粱12亩、糜谷31亩、荞面4亩、马铃薯70亩、豆类86亩、油料作物3亩、养殖羊子36只、猪22头、牛2头。</t>
  </si>
  <si>
    <t>田家寨镇</t>
  </si>
  <si>
    <t>李岔村、胡家沟村、刘家畔村、南门村、王沙峁村</t>
  </si>
  <si>
    <t>该项目为到户产业项目，形成到户类资产，产权归农户个人，由农户个人负责管护。发展到户产业项目能增加脱贫户29户64人（含监测户）人均纯收入，预计平均每人可增加年纯收入3000元，进一步巩固拓展脱贫攻坚成果。</t>
  </si>
  <si>
    <t>田家寨镇人民政府</t>
  </si>
  <si>
    <t>2025年3月-6月</t>
  </si>
  <si>
    <t>2025年府谷镇脱贫户监测户产业发展项目(新增)</t>
  </si>
  <si>
    <t>奖补脱贫户及监测户到户产业项目：良种玉米120亩、高粱10亩，谷子2亩，荞麦10亩，马铃薯34亩，豆类89亩，羊50只，猪3头，鸡20羽。</t>
  </si>
  <si>
    <t>府谷镇</t>
  </si>
  <si>
    <t>各相关村</t>
  </si>
  <si>
    <t>实施该项目可以增加脱贫户或监测户户均收入1万元，受益脱贫户及监测户20户42人。</t>
  </si>
  <si>
    <t>府谷镇人民政府</t>
  </si>
  <si>
    <t>2025年3月-11月</t>
  </si>
  <si>
    <t>2025年木瓜镇阳坬村集体经济合作社道地药材科技示范基地建设项目</t>
  </si>
  <si>
    <t>在阳坬村种植酸枣300亩，亩栽一年生苗高均45公分苗350株；配套2.5寸水泵一台，主管道2.5寸PVC管3万米，35公分PE滴灌管15万米，实验建设道地药材科技示范基地。</t>
  </si>
  <si>
    <t>该项目产权归阳坬村集体所有。项目建成后，由承包方承包，按照不低于6%的收取4.68万元收益，按照村集体经济收益分配方案，75%资金用于分红，10%资金用于村内公益性岗位开发补助，10%资金用于发展壮大再生产,5%资金用于风险基金。预计有农户81户274人受益，其中脱贫户8户12人。</t>
  </si>
  <si>
    <t>2025年木瓜镇阳坬村集体经济联合社大棚提升改造项目</t>
  </si>
  <si>
    <t>为村集体经济合作社30座双模棚和1座日光温棚更换棚膜，维修（清理后墙塌方、新建50砖砌墙20米）1个日光大棚。</t>
  </si>
  <si>
    <t>该项目产权归集体所有，通过维修大棚，便于大棚生产经营，从而提高经济效益，增加村民收入，预计有农户464户1380人受益，其中脱贫户28户63人。</t>
  </si>
  <si>
    <t>2025年三道沟镇经济联合总社蔬菜大棚配套设施项目</t>
  </si>
  <si>
    <t>在三道沟镇新庙村新建大棚配套设施，其中：7.5KW变频供水泵1台、504-C旋耕机2台、186微耕起垄机3台、砖混结构仓储间（25㎡/间）3间、砖混结构保鲜库（30㎡）1间、滴灌设施1套（PE2寸主管道1000m）、金属围栏650m、配套电线、水泵等；新建含基础等配套设施。</t>
  </si>
  <si>
    <t>三道沟镇</t>
  </si>
  <si>
    <t>新庙村</t>
  </si>
  <si>
    <t>该项目建成后产权归村集体所有，该项目实施后提升大棚供水能力，惠及村民3021户8191人，其中脱贫户60户141人。</t>
  </si>
  <si>
    <t>三道沟镇人民政府</t>
  </si>
  <si>
    <t>2025年5月-
2025年11月</t>
  </si>
  <si>
    <t>2025年三道沟镇经济联合总社蔬菜大棚配套供热设施项目</t>
  </si>
  <si>
    <t>在三道沟镇新庙村新建大棚供热管道：2142m焊接钢管（DN89）、1725.5m无缝钢管（DN50）、497.35m无缝钢管（DN159）、324.8m无缝钢管（DN133）及其附属设施等。</t>
  </si>
  <si>
    <t>该项目建成后产权归村集体所有，该项目实施后提升大棚种植能力，惠及村民3021户8191人，其中脱贫户60户141人。</t>
  </si>
  <si>
    <t>2025年三道沟镇杨园则村集体经济联合社玉米种植项目</t>
  </si>
  <si>
    <t>杨园则村集体种植玉米300亩。</t>
  </si>
  <si>
    <t>杨园则村</t>
  </si>
  <si>
    <t>该项目增加粮食产量，充分带动村集体经济增收，预计年收益0.2万元。按照村集体经济收益分配方案，75%资金用于分红，10%资金用于村内公益性岗位开发补助，10%资金用于发展壮大再生产,5%资金用于风险基金。预计有农户487户1324人受益，其中:脱贫户15户32人。</t>
  </si>
  <si>
    <t>2025年三道沟镇阳湾村集体经济联合社高粱种植项目</t>
  </si>
  <si>
    <t>阳湾村集体种植高粱1500亩。</t>
  </si>
  <si>
    <t>阳湾村</t>
  </si>
  <si>
    <t>该项目增加粮食产量，充分带动村集体经济增收，预计年收益1.7万元。按照村集体经济收益分配方案，75%资金用于分红，10%资金用于村内公益性岗位开发补助，10%资金用于发展壮大再生产,5%资金用于风险基金。预计有农户545户1475人受益，其中:脱贫户12户28人。</t>
  </si>
  <si>
    <t>2025年三道沟镇三道沟村集体经济联合社玉米种植项目</t>
  </si>
  <si>
    <t>三道沟村集体种植玉米300亩。</t>
  </si>
  <si>
    <t>三道沟村</t>
  </si>
  <si>
    <t>该项目增加粮食产量，充分带动村集体经济增收，预计年收益0.2万元。按照村集体经济收益分配方案，75%资金用于分红，10%资金用于村内公益性岗位开发补助，10%资金用于发展壮大再生产,5%资金用于风险基金。预计有农户427户1044人受益，其中:脱贫户7户14人。</t>
  </si>
  <si>
    <t>2025年度古城镇沙圪坨村集体经济联合社小杂粮种植配套项目</t>
  </si>
  <si>
    <t>利用碾房沟大坝已流转的土地，通过增施有机肥、地膜覆盖，购买优质玉米种子、种植玉米200亩，其中配套24KW柴油三相发电机一台，20KW三相高扬程水泵一台，2.5寸管道2000米，施肥罐一套，200亩滴灌带。</t>
  </si>
  <si>
    <t>古城镇</t>
  </si>
  <si>
    <t>沙圪坨村</t>
  </si>
  <si>
    <t>该项目产权归村集体所有，项目实施后，预计亩均增产300斤，带动村集体年增收6万元以上，项目实施过程中可带动农户临时就业4人以上，受益农户612户1439人，其中脱贫户18户26人，监测户3户4人。村集体经济收益分配为：提取公积金10%；提取公益金10%；可持续发展金30%；股东红利分配50%；其中脱贫户（含监测对象）享受优先一股，剩余按人头股和土地股进行分配。</t>
  </si>
  <si>
    <t>古城镇人民政府</t>
  </si>
  <si>
    <t>2025年4月-10月</t>
  </si>
  <si>
    <t>2025年度古城镇五道河村经济联合社双膜拱棚土壤改良项目</t>
  </si>
  <si>
    <t>对五道河村50座双膜拱棚、1座育苗棚实施土壤改良，主要是添加生物菌肥和有机肥等。</t>
  </si>
  <si>
    <t>五道河村</t>
  </si>
  <si>
    <t>项目建成后所有权为村集体所有；项目实施后便于大棚种植品种选择，提升大棚种植农作物产量，预计每棚增收约200元，受益农户437户1034人，受益脱贫户及监测户15户18人。</t>
  </si>
  <si>
    <t>2025年1月-5月</t>
  </si>
  <si>
    <t>2025年度古城镇经济联合总社西瓜种植项目</t>
  </si>
  <si>
    <t>在古城村已流转土地1200亩，通过增施有机肥、地膜覆盖，购买优质西瓜种子，种植西瓜共计1200亩。</t>
  </si>
  <si>
    <t>古城村</t>
  </si>
  <si>
    <t>收益归古城镇经济联合总社所有；项目通过铺设地膜，增强土壤蓄水保墒和抗旱能力，增加粮食产量，预计每亩增收100斤；受益群众4042户9970人（其中脱贫户及三类户110户156人）；当年收益30%用于提取公益公积金，50%用于投资积累金，20%用于股东红利分配。</t>
  </si>
  <si>
    <t>2025年度古城镇经济联合总社葵花种植项目</t>
  </si>
  <si>
    <t>在古城村已流转土地700亩，通过增施有机肥、地膜覆盖，购买优质向日葵种子，种植向日葵700亩。</t>
  </si>
  <si>
    <t>2025年度古城镇王家梁村集体经济合作社百亩果园提升改造项目</t>
  </si>
  <si>
    <t>项目主要是对古城镇王家梁村集体百亩果园果树进行提升改造（约130亩），对果树进行修剪、锄草、打药等一系列措施，提高产量，提高果子品质。</t>
  </si>
  <si>
    <t>王家梁村</t>
  </si>
  <si>
    <t>产权归村集体所有，能改善现有果树产量，改造原有的经济林，能够规范管理提高产量、改善果子品质，预计亩产增加50斤优质果子，受益群众453户986人（其中脱贫户、监测户10户10人）；项目实施过程中预计可以提供临时就业岗位4个；村集体经济项目收益分配为：公益公积金30%，提取投资积累金20%，股东红利分配金50%。</t>
  </si>
  <si>
    <t>2025年1月-10月</t>
  </si>
  <si>
    <t>2025年度古城镇古城村集体经济合作社杏树提升改造项目</t>
  </si>
  <si>
    <t>对古城村集体的嫁接杏树（500亩）进行修剪、锄草、打药等一系列措施，提高产量和果子品质。</t>
  </si>
  <si>
    <t>项目实施后，产权归集体所有，能改善杏子品质，提高挂果率；项目实施受益群众289户686人（其中脱贫户、监测户7户12人）；项目实施过程中预计可以提供临时就业岗位1个、实现农户家门口就业；村集体经济进一步增收，村集体经济项目收益分配为：公益公积金50％；提取投资积累金30％；股东红利分配金20％，提高群众满意度。</t>
  </si>
  <si>
    <t>2025年度古城镇五道河村集体经济合作社果树提升改造项目</t>
  </si>
  <si>
    <t>主要是对古城镇五道河村集体袁圪塄100亩白水大杏、50亩海红果树、峁上200亩白水大杏进行修剪、锄草、打药等一系列措施，提高产量和果子品质。</t>
  </si>
  <si>
    <t>项目实施后产权归集体所有，能进一步改善果树生长环境，提升果品质量，提高挂果率，进而壮大集体经济、增加群众收入，受益群众125户305人（其中脱贫户及监测户4户4人）；项目实施过程中预计可以提供临时就业岗位5个；提高群众满意度。</t>
  </si>
  <si>
    <t>2025年度古城镇经济联合总社种植产业项目</t>
  </si>
  <si>
    <t>利用已流转、闲置撂荒土地，通过增施有机肥、地膜覆盖，购买优质玉米、高粱、葵花种子，种植玉米100亩、高粱200亩、葵花200亩。</t>
  </si>
  <si>
    <t>各有关村</t>
  </si>
  <si>
    <t>规范衔接资金项目管理，提高资金使用效益。收益归古城镇经济联合总社所有；项目通过铺设地膜，增强土壤蓄水保墒和抗旱能力，增加粮食产量，预计每亩增收100斤；受益群众4042户9970人（其中脱贫户及三类户110户156人）；当年收益30%用于提取公益公积金，50%用于投资积累金，20%用于股东红利分配。</t>
  </si>
  <si>
    <t>2025年4月-11月</t>
  </si>
  <si>
    <t>2025年田家寨镇经济联合总社李岔村香菇种植基地项目</t>
  </si>
  <si>
    <t>新建香菇种植大棚16座，长45米，宽8米，高3米；提升改造原大棚28个，对每座棚进行提升改造，安装外遮阳拱梁、外遮阳抗风拉杆、压膜槽、卷膜杆、顶卷膜器、40型菌架支架、80型菌架支架、内外遮阳网、压膜带等；新建长10米、宽8米、高3.5米冷库一座，含15P半封风冷机组、DD80冷风机、10cm厚聚氨酯挂钩板03彩钢及其他相关组件；新建仓储及生产用房（彩钢）5间，每间长5米、宽3米，高2.8米。</t>
  </si>
  <si>
    <t>李岔村</t>
  </si>
  <si>
    <t>该项目为产业帮扶项目，形成经营性资产，产权归田家寨镇经济联合总社，由镇联合社统一经营管理。预期增加联合总社24.6万元，收入70%用于产业项目后续发展，30%用于分红。带动脱贫户289户627人（含监测户），受益农户3842户10430人，可吸纳村内剩余劳动力务工。进一步巩固拓展脱贫攻坚成果。</t>
  </si>
  <si>
    <t>2025年5月-8月</t>
  </si>
  <si>
    <t>2025年田家寨镇经济联合总社香菇菌棒购置项目</t>
  </si>
  <si>
    <t>计划在联合总社10座香菇种植大棚内投放10万棒香菇菌棒。</t>
  </si>
  <si>
    <t>胡家沟村</t>
  </si>
  <si>
    <t>该项目为产业帮扶项目，项目建成后产权属于田家寨镇经济联合总社，由镇联合社负责管护。充分发挥联合总社的持续带动作用，提高香菇大棚及双膜拱棚产出效益，预计增收0.9万以上，巩固脱贫成果，壮大集体经济，带动全镇3842户10430人农户，其中脱贫户294户640人，充分吸纳村内剩余贫困劳动力务工约10人，增加工资性收入0.2万/人，稳固脱贫成果。</t>
  </si>
  <si>
    <t>2025年3月-5月</t>
  </si>
  <si>
    <t>2025年度孤山镇沙坬村集体经济联合社农业种植项目</t>
  </si>
  <si>
    <t>联合社种植玉米200亩，高粱200亩，糜子300亩。购买玉米种子200袋，高粱种子200袋，糜子种子150袋，购买肥料740袋。</t>
  </si>
  <si>
    <t>沙坬村</t>
  </si>
  <si>
    <t>通过小杂粮种植，充分带动当地集体经济。预计为村集体经济带来10万元收益，受益农户434户1174人，其中脱贫户12户25人，监测户2户6人。收益30%用于村民红利，50%用于村集体经济后续产业发展，20%用于完善村内基础设施建设。</t>
  </si>
  <si>
    <t>2025年度孤山镇杨家沟村经济联合社双模拱棚维修项目</t>
  </si>
  <si>
    <t>更换现有52座拱棚双模、维修钢架和排水等设施，主要内容包括更换44550㎡外膜，更换43890㎡内膜，需压膜绳30000米，卡簧6600米以及卡槽、人工费用等。</t>
  </si>
  <si>
    <t>杨家沟村</t>
  </si>
  <si>
    <t>项目建成后归村集体所有，发展双模种植产业，由村集体经济进行运行管理，带动村集体经济发展，预计每年为村集体经济增收5万元，带动全村318户881人发展，其中脱贫户20户48人。</t>
  </si>
  <si>
    <t>2025年武家庄镇白家峁行政村泉则组酸枣种植项目</t>
  </si>
  <si>
    <t>种植酸枣100亩，配套建设20方集雨池。</t>
  </si>
  <si>
    <t>武家庄镇</t>
  </si>
  <si>
    <t>白家峁村</t>
  </si>
  <si>
    <t>产权归村集体所有，带动段家洼果园产业发展，完善基础设施建设。受益群众494户1337人，其中脱贫户21户42人，预计增加村集体经济收入1.5万元，收益的30%用于提取公积公益金，30%用于壮大集体经济联合社，40%用于村内分红。</t>
  </si>
  <si>
    <t>武家庄镇人民政府</t>
  </si>
  <si>
    <t>2025年4月-2025年9月</t>
  </si>
  <si>
    <t>2025年黄甫镇刘家坪村经济联合社双膜拱棚维修改造项目</t>
  </si>
  <si>
    <t>该项目占地面积15亩，对10座双膜拱棚维修改造，对其中2个严重损坏大棚重新搭建钢架和塑料膜，对其中8个双膜拱棚加固维修钢架和塑料膜。</t>
  </si>
  <si>
    <t>黄甫镇</t>
  </si>
  <si>
    <t>刘家坪村</t>
  </si>
  <si>
    <t>该项目产权归刘家坪村集体所有，带动刘家坪村集体合作社增收，收益按人头股分红，一般农户按1股、脱贫户按2股参与分红。受益农户453户1121人，其中脱贫户15户34人。</t>
  </si>
  <si>
    <t>黄甫镇人民政府</t>
  </si>
  <si>
    <t>2025年1月-2025年12月</t>
  </si>
  <si>
    <t>2025年府谷镇高梁村经济联合社日光温室大棚建设项目</t>
  </si>
  <si>
    <t>新建日光温室大棚5个温室大棚，规格：60米*12米*5米。</t>
  </si>
  <si>
    <t>高梁村</t>
  </si>
  <si>
    <t>建成后资产属于高梁村经济联合社，受益农户369户1023人，受益脱贫户15户24人，受益监测户1户2人，增加村集体经济收益9.9万元，收益30%提取公积金，70%用于分红。</t>
  </si>
  <si>
    <t>2025年府谷镇王家畔村经济联合社果园建设项目</t>
  </si>
  <si>
    <t>建设标准化果园，杏子、桃子、西梅、葡萄等品种，每品种10亩，共60亩。</t>
  </si>
  <si>
    <t>王家畔村</t>
  </si>
  <si>
    <t>建成后资产属于王家畔村经济联合社，果园量产后每年可以收益10万元，受益脱贫户301户818人，受益脱贫户22户39人，受益监测户1户6人，收益20%提取公积金，80%用于分红。</t>
  </si>
  <si>
    <t>2025年田家寨镇东沟村双膜拱棚水肥灌溉一体化项目</t>
  </si>
  <si>
    <t>大棚配套供水泵一套，含不锈钢水泵CDL32-40、压力罐、控制箱、变频器等；介质过滤器一台；水肥器一套；UPVC电动阀一台。</t>
  </si>
  <si>
    <t>东沟村</t>
  </si>
  <si>
    <t>该项目为产业配套设施项目，形成公益性资产，项目建成后产权属于东沟村集体经济，由村集体经济负责管护。该项目实施后能最大化提高灌溉及施肥效率，进而提升种植产出率，增加双膜拱棚收入，带动脱贫户16户35人（含监测户），受益农户370户1041人。</t>
  </si>
  <si>
    <t>2025年5月-6月</t>
  </si>
  <si>
    <t>2025年度古城镇油房坪村高效旱作节水农业智能水肥一体化项目</t>
  </si>
  <si>
    <t>新建灌溉首部过滤施肥系统1套、田间灌溉管网1套、自动化控制系统1套、田间小型气象站1套，实现“智能水肥一体化”灌溉面积450亩。</t>
  </si>
  <si>
    <t>油房坪村</t>
  </si>
  <si>
    <t>项目建成后产权归村集体所有，大力提升用水效率，精准施肥、增加作物产量，预计亩产增加100斤。受益农户299户1215人，其中脱贫户10户20人。</t>
  </si>
  <si>
    <t>2025年2月-11月</t>
  </si>
  <si>
    <t>2025年度孤山镇杨家沟村经济联合社杨家沟第一自然村果园配套设施项目</t>
  </si>
  <si>
    <t>现有蓄水坝2座，为84亩果园配套滴灌设施新建500立方混凝土高位水池2个，配套输水管线1600米,扬程300米D-50*6抽水泵1台。</t>
  </si>
  <si>
    <t>项目建成后产权归集体所有，配套滴灌设施，改善果园种植及周围高标准农田建设条件，带动全村53户130人发展产业，其中脱贫户3户5人，预计每年增收6万元。收益70%用于村民红利，30%用于村集体发展资金。</t>
  </si>
  <si>
    <t>2025年木瓜镇常塔村集体经济合作社柏树沟组糜谷基地配套项目</t>
  </si>
  <si>
    <t>在柏树沟村川道开挖石砌长宽高20×10×10米储水塘一座，配套30kw、100米扬程水泵一台，2寸水管300米，设置高1.2米铁质防护栏。可灌溉1000亩特色糜谷。</t>
  </si>
  <si>
    <t>常塔村</t>
  </si>
  <si>
    <t>该项目产权归集体所有。项目建成后，能有效保障1000余亩特色糜谷增产增效，同时也能为周边抗旱保粮提供应急储水，间接带动村集体收入。受益农户104户334人，其中脱贫户5户13人。</t>
  </si>
  <si>
    <t>2025年木瓜镇常塔村集体经济合作社川道地区糜谷基地项目</t>
  </si>
  <si>
    <t>利用现有的水源引水上山，在常塔新建1000立方软体蓄水池一座，配套水泵一台、1.5寸PE上水管200米，2寸PE出水管200米，护栏等。可灌溉1000亩特色糜谷。</t>
  </si>
  <si>
    <t>该项目产权归集体所有。项目建成后，能有效保障1000余亩特色糜谷增产增效，同时也能为周边抗旱保粮提供应急储水，间接带动村集体收入。受益农户39户124人，其中脱贫户3户8人。</t>
  </si>
  <si>
    <t>2025年木瓜镇大柳树墕村集体经济合作社万亩有机糜谷基地配套项目</t>
  </si>
  <si>
    <t>在万亩有机糜谷基地（大柳树墕段）配套实施800立方米固体集雨池1个。集雨池位于万亩有机糜谷基地平地处，主要通过1公里的硬化路面及300余亩的田间水道收集雨水，配套5.5千瓦水泵一台，1寸PE管1500米，项目建成后可实现灌溉700亩有机糜谷。</t>
  </si>
  <si>
    <t>大柳树墕村</t>
  </si>
  <si>
    <t>该项目产权归集体所有，能进一步完善糜谷基地配套建设，保障万亩有机糜谷基地（大柳树墕段）产业持续发展，解决700亩糜谷基地灌溉用水，亩产增收50斤。预计受益农户381户1030人，受益脱贫户（监测户）15户30人。</t>
  </si>
  <si>
    <t>2025年木瓜镇前梁村集体经济联合社万亩有机糜谷基地阳坡组糜谷基地配套项目</t>
  </si>
  <si>
    <t>在前梁村阳坡组新建深井一座，配套2寸PE上水管700米，2寸PE下水管800米，水泵一台，50平方电缆200米，可灌溉特色糜谷4000亩。</t>
  </si>
  <si>
    <t>前梁村</t>
  </si>
  <si>
    <t>该项目产权归集体所有，该项目建成后，利用水井的水源，可以对4000余亩特色糜谷实施灌溉，可以有效提高特色农作物产量。预计受益农户63户189人，受益脱贫户1户1人。</t>
  </si>
  <si>
    <t>2025年5月-2025年10月</t>
  </si>
  <si>
    <t>2025年木瓜镇王家峁村集体经济联合社孙家沟组糜谷基地配套项目</t>
  </si>
  <si>
    <t>利用孙家沟现有水源实施特色糜谷灌溉，建设800立方固体高位蓄水池一座，配套2寸PE上水管道1000米，水泵（扬程150m）一台，2寸下水PE管道3000米，可灌溉500亩农田。</t>
  </si>
  <si>
    <t>王家峁村</t>
  </si>
  <si>
    <t>该项目产权归集体所有，该项目建成后，可浇灌500亩农田，受益农户40户94人，受益脱贫户3户6人。</t>
  </si>
  <si>
    <t>2025年4月-2025年10月</t>
  </si>
  <si>
    <t>2025年度孤山镇李家洼村集体经济联合社小杂粮种植基地配套项目</t>
  </si>
  <si>
    <t>李家洼村沿通村路有种植小杂粮高标准农田约800亩，为有效应对旱季减产问题，现需沿通村路新建钢筋混凝土集雨蓄水池38座，每座容量约为30立方米。</t>
  </si>
  <si>
    <t>李家洼村</t>
  </si>
  <si>
    <t>产权归村集体所有，改善提升村民种植条件，为旱季村民种植业发展提供保障，项目建成后，共受益农户205户548人（其中脱贫户6户15人）。</t>
  </si>
  <si>
    <t>2025年度孤山镇杨家沟村经济联合社杨家畔村小杂粮种植基地配套项目</t>
  </si>
  <si>
    <t>现有蓄水大坝一座，水源充足，需为605亩高标准农田配套灌溉设施，新建500立方高位水池一座，新建井房1座，配套上水管道2000米，水泵1台，铺设滴管管道4000米，建设电路700米。</t>
  </si>
  <si>
    <t>项目建设后产权归村集体所有，配套灌溉设施改善农田种植条件，彻底摆脱靠天吃饭困境，带动全村81户255人发展产业，其中脱贫户4户13人。</t>
  </si>
  <si>
    <t>2025年度孤山镇岳家寨村经济联合社上焉、中焉自然村小杂粮种植基地建设项目</t>
  </si>
  <si>
    <r>
      <rPr>
        <sz val="14"/>
        <rFont val="仿宋"/>
        <charset val="134"/>
      </rPr>
      <t>现有高标准农田1500亩，双模拱棚18座，需配套建设砖铺产业路2.67公里，宽3米，厚12厘米；同时配套建设1000m</t>
    </r>
    <r>
      <rPr>
        <sz val="14"/>
        <rFont val="宋体"/>
        <charset val="134"/>
      </rPr>
      <t>³</t>
    </r>
    <r>
      <rPr>
        <sz val="14"/>
        <rFont val="仿宋"/>
        <charset val="134"/>
      </rPr>
      <t>混凝土高位水池一座，水肥一体机一套，截流井一座（配套2.5寸钢管道500米，电杆5根，电线400米）。</t>
    </r>
  </si>
  <si>
    <t>岳家寨村</t>
  </si>
  <si>
    <t>建设后产权归上焉合作社集体所有；发展高质量高标准农田产业，有效增加土地产出，解决现有1500亩高标准农田灌溉水量问题，极大改善现有种植条件，带动109户275人发展，其中脱贫户3户4人。</t>
  </si>
  <si>
    <t>2025年度孤山镇房塔村经济联合社上申家峁自然村小杂粮种植基地配套设施建设项目</t>
  </si>
  <si>
    <t>现有种植玉米、糜子、谷子等小杂粮高标准农田约400亩，需配套建设砖铺产业路长0.5公里，宽3米，厚12厘米。</t>
  </si>
  <si>
    <t>房塔村</t>
  </si>
  <si>
    <t>建设后产权归村集体所有，有效改善提升村全村90户223（其中脱贫户3户4人）耕作条件，巩固脱贫攻坚成果，提升群众满意度。</t>
  </si>
  <si>
    <t>2025年度老高川镇老高川村东城梁组玉米种植基地配套设施项目</t>
  </si>
  <si>
    <t>铺设软体集雨设备1000平方米，建设200立方米集雨池一座，配套输水管网1000米，玉米种植基地规模为1000亩。</t>
  </si>
  <si>
    <t>老高川镇</t>
  </si>
  <si>
    <t>老高川村</t>
  </si>
  <si>
    <t>该项目产权归村集体所有，项目建成后，能够有效解决千亩玉米种植基地土地缺水灌溉问题，提高粮食产量≥10%，全村受益63户214人，其中脱贫户2户5人。</t>
  </si>
  <si>
    <t>老高川镇人民政府</t>
  </si>
  <si>
    <t>2025年1月-12月</t>
  </si>
  <si>
    <t>2025年度老高川镇老高川村后老高川组玉米种植基地配套设施项目</t>
  </si>
  <si>
    <t>建设100米深机井一座，配套抽水泵1台，输水管网300米，玉米种植基地规模为70亩。</t>
  </si>
  <si>
    <t>该项目产权归村集体所有，项目建成后，能够解决玉米种植基地缺水灌溉问题，提高群众农业发展抗风险程度，提高粮食产量≥10%，全村受益60户189人，其中脱贫户1户2人。</t>
  </si>
  <si>
    <t>2025年度老高川镇老高川村李家梁组玉米种植基地配套设施项目</t>
  </si>
  <si>
    <t>建设30立方米集雨池一座，配套抽水泵1台，输水管网100米，输电线路100米，电杆3根，玉米种植基地规模为50亩。</t>
  </si>
  <si>
    <t>该项目产权归村集体所有，项目建成后，能够解决村内群众缺水灌溉问题，提高群众农业发展抗风险程度，提高粮食产量≥10%，全村受益32户104人，其中脱贫户2户5人。</t>
  </si>
  <si>
    <t>2025年武家庄镇高庄则行政村边家寨组玉米、高粱基地配套项目</t>
  </si>
  <si>
    <t>边家寨村店湾新建3000方截潜流蓄水池一座（雨后接水），池体以混凝土加土建设，水池底长30米，池底宽20米，高20米。配套设施集流井房1座、抽水泵1个，电线200米，PE输水管路200米，配电柜1台、电闸1个。</t>
  </si>
  <si>
    <t>高庄则村</t>
  </si>
  <si>
    <t>满足已流转回村集体土地200余亩种植玉米、高粱灌溉需求，增加村集体纯收入2万余元，壮大村集体经济。</t>
  </si>
  <si>
    <t>2025年武家庄镇高庄则行政村南沟组玉米、高粱基地配套项目</t>
  </si>
  <si>
    <t>南沟村农业灌溉水源地打井，井深200米、直径80厘米。配套设施300扬程抽水泵1台、电线400米、电闸1个、配电柜1台、井房1座。</t>
  </si>
  <si>
    <t>满足已流转回村集体土地1000余亩种植玉米、高粱灌溉需求，增加村集体纯收入5万余元，壮大村集体经济。</t>
  </si>
  <si>
    <t>2025年武家庄镇郝家塔行政村田家园则组玉米、高粱基地配套项目</t>
  </si>
  <si>
    <t>2025年建设高标准农田约200亩，结合现有资源上报项目如下：大口水井450方（水资源充足），水泵机房，电缆约100米，配电柜：，3寸上水钢管750米，下水pe4000米，阀门井50个X1500元，高位水池600方，控制接头，挖坑、回填、埋管等其他材料配件和工程。</t>
  </si>
  <si>
    <t>郝家塔村</t>
  </si>
  <si>
    <t>满足已流转回村集体土地200多亩种植玉米、高粱灌溉需求，预计增加村集体经济收入2.5万元，收益的30%用于提取公积公益金，30%用于壮大集体经济联合社，40%用于村内分红。</t>
  </si>
  <si>
    <t>2025年武家庄镇郝家塔行政村刘家园则自然村玉米、高粱基地配套项目</t>
  </si>
  <si>
    <t>2025年建设高标准农田约200亩，结合现有资源上报项目如下：接水池500方（雨后接水），水泵机房，电缆约100米，配电柜：，3寸上水钢管300米，下水pe2000米，阀门井50个X1500元，高位水池500方，控制接头，挖坑、回填、埋管等其他材料配件和工程。</t>
  </si>
  <si>
    <t>满足已流转回村集体土地200多亩种植玉米、高粱灌溉需求，预计增加村集体经济收入1.5万元，收益的30%用于提取公积公益金，30%用于壮大集体经济联合社，40%用于村内分红。</t>
  </si>
  <si>
    <t>2025年哈镇哈镇行政村集体经济合作社保鲜冷库建设项目</t>
  </si>
  <si>
    <t>在哈镇村新建保鲜冷库3间，单间长6米，宽3米，高4米；共配套制冷机3台，配套（3*35+1*16）电缆线60米。购买冷冻机组12匹3个，高速制氮机1台，气调设备1套，5米*0.6米*1.8米货架6个（货架层高0.8米）</t>
  </si>
  <si>
    <t>哈镇</t>
  </si>
  <si>
    <t>哈镇村</t>
  </si>
  <si>
    <t>该项目建成后，将形成公益性资产，且资产产权归村集体所有，由村集体自主运营管护，项目建成后，预计储存葡萄、豆角、青椒等农产品10万斤，错峰销售后预计可增收6万元左右，带动户数617户1498人，其中脱贫户52户85人。村集体经济收益分配为：10%作为项目可持续发展资金，剩余的90%作为人口股、土地股、集体股、脱贫户优先股的利润分红，其中收益的5%优先分配于以土地入股的村民，2%作为脱贫户和监测户优先股，剩余按人头股进行分红。</t>
  </si>
  <si>
    <t>哈镇人民政府</t>
  </si>
  <si>
    <t>2025年府谷镇河塔村东山组高效旱作节水农业四位一体补灌项目</t>
  </si>
  <si>
    <r>
      <rPr>
        <sz val="14"/>
        <rFont val="仿宋"/>
        <charset val="134"/>
      </rPr>
      <t>新建500m</t>
    </r>
    <r>
      <rPr>
        <sz val="14"/>
        <rFont val="宋体"/>
        <charset val="134"/>
      </rPr>
      <t>ª</t>
    </r>
    <r>
      <rPr>
        <sz val="14"/>
        <rFont val="仿宋"/>
        <charset val="134"/>
      </rPr>
      <t>混凝土圆形蓄水池1套，铺设输水管路De75HDPE管、1.6MPa630m，田间配水管网De110HDPE管/1.0MPa1821m,De90HDPE管/1.0MPa2089m，De90PE软带/0.3MPa1642m,De16贴片式滴灌带111000m，砌筑闸阀井、排水井共20座。</t>
    </r>
  </si>
  <si>
    <t>河塔村</t>
  </si>
  <si>
    <t>建成后资产归府谷镇河塔村东山组，受益农户108户310人，受益脱贫户2户5人，可以保障200余亩高标准农田的产量。</t>
  </si>
  <si>
    <t>2025年新民镇脱贫户(含监测对象)到户产业项目（补充）</t>
  </si>
  <si>
    <t>郭建民：良种玉米5亩，脱毒马铃薯2亩。
刘社平：脱毒马铃薯2亩，高粱10亩，黑豆2亩。
杨荣：本地绒山羊10只。
袁利庭：良种玉米8亩，脱毒马铃薯4亩，白皮猪2头。
王拴女：良种玉米8亩，脱毒马铃薯2亩，黑豆2亩。
苏艮栓：良种玉米7亩，脱毒马铃薯3亩，谷子2亩，黑豆2亩，白皮猪2头。
班金艾：良种玉米6亩，脱毒马铃薯3亩，糜子2亩。
白大飞：白皮猪1头，本地绒山羊4只。
孙买庆：良种玉米8亩，脱毒马铃薯2亩，小杂粮2亩，谷子2亩，白皮猪3头。
郭计晓：良种玉米5亩，脱毒马铃薯2亩，黑豆3亩，谷子1亩，猪2只。</t>
  </si>
  <si>
    <t>新民村
陈庄村
桃峁村
高山村
新尧村
石条墕村打井塔村</t>
  </si>
  <si>
    <t>该项目为到户产业项目，项目实施后形成到户类资产，产权归农户个人，由农户个人负责管护。发展到户产业项目能增加脱贫户10户24人（含监测户）人均纯收入，预计年底人均增收5000元，进一步巩固拓展脱贫攻坚成果。</t>
  </si>
  <si>
    <t>2025.4-2025.10</t>
  </si>
  <si>
    <t>2025年度古城镇经济联合总社海红果育苗基地建设项目（一县一镇一产业项目）</t>
  </si>
  <si>
    <t>利用古城镇经济联合总社已流转2亩土地，建设标准化育苗基地，预计每亩育初苗2万苗，需肥料约4吨，配套建设水源井，井深约90米，内径1.2米的水泥管，水泵一台，配备三相电缆500米，2寸pvc管500米，配套配电室一间，育苗基地围栏约150米，配套灌溉沙坪190亩海红果种植基地。</t>
  </si>
  <si>
    <t>各村</t>
  </si>
  <si>
    <t>1.该项目建成后，将形成经营性资产，产权归古城镇经济联合总社所有，能改善现有果树品种；2.项目实施过程中预计可以提供临时就业岗位4个；3.预计育苗成功后第二年售卖，每苗售卖4.5元；4.受益群众4042户9970人（其中脱贫户及三类户110户156人）；5.当年收益30%用于提取公益公积金，50%用于投资积累金，20%用于股东红利分配。</t>
  </si>
  <si>
    <t>2025年3月-12月</t>
  </si>
  <si>
    <t>2025年黄甫镇黄甫村集体经济联合社青储玉米种植项目</t>
  </si>
  <si>
    <t>种植青储玉米200亩，包括土地翻松、播种、收割（收获）、施肥、浇水、籽种、管护，配套滴灌等。</t>
  </si>
  <si>
    <t>黄甫村</t>
  </si>
  <si>
    <t>该项目为产业帮扶项目，由村集体负责人负责管护。预计带动村集体经济联合社增收约7万元。提取该项目利润50%用于壮大村集体经济发展，40%用于一般农户分红，剩余10%用于脱贫户、监测户分红。受益农户563户1291人，其中脱贫户6户8人，监测户1户2人。</t>
  </si>
  <si>
    <t>2025年3月-2025年12月</t>
  </si>
  <si>
    <t>2025年田家寨镇李岔村种植业基地配套项目</t>
  </si>
  <si>
    <r>
      <rPr>
        <sz val="14"/>
        <rFont val="仿宋"/>
        <charset val="134"/>
      </rPr>
      <t>1）灌溉工程：新建浮筒式一体泵（200QJ30-156/24-15kw）1套，新建3m*3m配电房1间、7.2m*7.2m设备房1间，设备间安装离心泵、施肥机及过滤设备1套。铺设输水管路DN90*4.0国标镀锌钢管198m，De90HDPE管/1.6MPa1338m。田间配水管网干管De125HDPE管/1.0MPa4476m，De90HDPE管/1.0MPa2514m，De90PE软带3300米，De16贴片式滴灌带212000米，砌筑闸阀井、排水井及泄水井共43座，出水桩85个，5000m</t>
    </r>
    <r>
      <rPr>
        <sz val="14"/>
        <rFont val="宋体"/>
        <charset val="134"/>
      </rPr>
      <t>³</t>
    </r>
    <r>
      <rPr>
        <sz val="14"/>
        <rFont val="仿宋"/>
        <charset val="134"/>
      </rPr>
      <t>土工膜蓄水池1座。
（2）农田输配电工程：架设10KV线路1600m，YJLV22-3*35+1*25地埋铠装铝电缆250m，
安装50KVA变压器1台。</t>
    </r>
  </si>
  <si>
    <t>该项目为产业项目，形成经营性资产，项目建成后，产权归李岔村集体经济联合社，由李岔村负责管护运营。可为320亩种植基地提供灌溉，预计每亩可增产200斤，增加村集体联合社收益17.7万元每年，吸纳村内剩余劳力务工就业。带动脱贫户7户17人（含监测户），受益农户34户101人，巩固脱贫攻坚成果，实现巩固脱贫攻坚成果与乡村振兴有效衔接。</t>
  </si>
  <si>
    <t>2025年.4-2025.12</t>
  </si>
  <si>
    <t>2025年田家寨镇张圪崂村经济联合社双膜拱棚维修工程</t>
  </si>
  <si>
    <t>维修8座张圪崂村因雨水冲毁损坏大棚，维修大棚钢架、更换损坏棚膜，回填冲毁地基，新修排水120米。</t>
  </si>
  <si>
    <t>张圪崂村</t>
  </si>
  <si>
    <t>该项目为产业配套项目，形成公益性资产，产权属于张圪崂村集体经济联合社，由村集体经济负责人管护。项目维修后，双膜拱棚能正常运行，正常收益，带动脱贫户40户82人（含监测户），受益农户533户1478人，增加村集体经济收益。</t>
  </si>
  <si>
    <t>2025年田家寨镇东沟村瓦尧条组种植业基地配套项目</t>
  </si>
  <si>
    <r>
      <rPr>
        <sz val="14"/>
        <rFont val="仿宋"/>
        <charset val="134"/>
      </rPr>
      <t>安装浮筒式一体泵（Q=50m3/h,H=260m,K=63KW）一台，配套配电房及其内配电设施；铺设上水管线，DN150镀锌钢管950米，De160HDPE管1500米；新建100m</t>
    </r>
    <r>
      <rPr>
        <sz val="14"/>
        <rFont val="宋体"/>
        <charset val="134"/>
      </rPr>
      <t>³</t>
    </r>
    <r>
      <rPr>
        <sz val="14"/>
        <rFont val="仿宋"/>
        <charset val="134"/>
      </rPr>
      <t>高位混凝土蓄水池1座；田间管网铺设，De125HDPE管6000米，De110HDPE管3500米，3寸pe软带5000米，16滴灌带300000米，铁质出水桩100个；配套农田相关配电设施。</t>
    </r>
  </si>
  <si>
    <t>项目建成后，产权归东沟村集瓦窑条体合作社，由东沟村负责管护运营。可为500亩高标准农田提供灌溉，增加村集体联合社收益，预期增加收入9.96万元每年，带动农户68户187人（其中脱贫户3户7人）增加收入。巩固脱贫攻坚成果，实现巩固脱贫攻坚成果与乡村振兴有效衔接。</t>
  </si>
  <si>
    <t>2025年田家寨镇东沟村前后东沟组种植业基地配套项目</t>
  </si>
  <si>
    <r>
      <rPr>
        <sz val="14"/>
        <rFont val="仿宋"/>
        <charset val="134"/>
      </rPr>
      <t>安装浮筒式一体泵（Q=50m3/h,H=260m,K=63KW）一台，配套配电房及其内配电设施；铺设上水管线，DN80镀锌钢管1250米，De90HDPE管1440米；新建8000m</t>
    </r>
    <r>
      <rPr>
        <sz val="14"/>
        <rFont val="宋体"/>
        <charset val="134"/>
      </rPr>
      <t>³</t>
    </r>
    <r>
      <rPr>
        <sz val="14"/>
        <rFont val="仿宋"/>
        <charset val="134"/>
      </rPr>
      <t>高位HDPE土工膜蓄水池（1座）；灌溉首部工程，新建设备房（6m*6m），安装自动反冲洗过砂石过滤器一台，自动反冲洗过叠片过滤器一台，离心泵一套，施肥机系统（含1000L*3个搅拌桶）；田间管网铺设，De160HDPE管3000米，De110HDPE管3500米，3寸pe软带5000米，16滴灌带300000米，铁质出水桩100个；配套农田相关配电设施。</t>
    </r>
  </si>
  <si>
    <t>项目建成后，产权归东沟村集瓦窑条体合作社，由东沟村负责管护运营。可为500亩高标准农田提供灌溉，增加村集体联合社收益，预期增加收入9.96万元每年，带动农户87户240人（其中脱贫户3户4人）增加收入。巩固脱贫攻坚成果，实现巩固脱贫攻坚成果与乡村振兴有效衔接。</t>
  </si>
  <si>
    <t>2025年田家寨镇东沟村石庙梁组种植业基地配套项目</t>
  </si>
  <si>
    <r>
      <rPr>
        <sz val="14"/>
        <rFont val="仿宋"/>
        <charset val="134"/>
      </rPr>
      <t>配井用潜水泵（Q=10m3/h,H=202m,K=15KW），配套配电房及其内配电设施；铺设上水管线，DN50镀锌钢管850米；新建8000m</t>
    </r>
    <r>
      <rPr>
        <sz val="14"/>
        <rFont val="宋体"/>
        <charset val="134"/>
      </rPr>
      <t>³</t>
    </r>
    <r>
      <rPr>
        <sz val="14"/>
        <rFont val="仿宋"/>
        <charset val="134"/>
      </rPr>
      <t>高位HDPE土工膜蓄水池（1座）；灌溉首部工程，新建设备房（6m*6m），安装自动反冲洗过砂石过滤器一台，自动反冲洗过叠片过滤器一台，离心泵一套，施肥机系统（含1000L*3个搅拌桶）；田间管网铺设，De160HDPE管3000米，De110HDPE管3500米，3寸pe软带5000米，16滴灌带300000米，铁质出水桩100个；配套农田相关配电设施。</t>
    </r>
  </si>
  <si>
    <t>项目建成后，产权归东沟村集瓦窑条体合作社，由东沟村负责管护运营。可为500亩高标准农田提供灌溉，增加村集体联合社收益，预期增加收入9.96万元每年，带动农户34户94人（其中脱贫户2户3人）。巩固脱贫攻坚成果，实现巩固脱贫攻坚成果与乡村振兴有效衔接。</t>
  </si>
  <si>
    <t>2025年田家寨镇李岔村桑林峁、常峁梁、杨湾梁组种植业基地配套项目</t>
  </si>
  <si>
    <r>
      <rPr>
        <sz val="14"/>
        <rFont val="仿宋"/>
        <charset val="134"/>
      </rPr>
      <t>配270m扬程潜水泵一台，配套配电房及其内配电设施；铺设上水管线，DN100镀锌钢管900米，De90HDPE管1400米；新建8000m</t>
    </r>
    <r>
      <rPr>
        <sz val="14"/>
        <rFont val="宋体"/>
        <charset val="134"/>
      </rPr>
      <t>³</t>
    </r>
    <r>
      <rPr>
        <sz val="14"/>
        <rFont val="仿宋"/>
        <charset val="134"/>
      </rPr>
      <t>高位HDPE土工膜蓄水池（1座）；灌溉首部工程，新建设备房（6m*6m），安装自动反冲洗过砂石过滤器一台，自动反冲洗过叠片过滤器一台，离心泵一套，施肥机系统（含1000L*3个搅拌桶）；田间管网铺设，De160HDPE管6000米，De110HDPE管6500米，3寸pe软带10000米，16滴灌带600000米，铁质出水桩240个；配套农田相关配电设施。</t>
    </r>
  </si>
  <si>
    <t>项目建成后，产权归李岔村集体经济联合社，由李岔村负责管护运营。可为800亩高标准农田提供灌溉，预计每亩可增产200斤，增加村集体联合社收益17.7万元每年，带动农户518户1355人（其中脱贫户55户113人）增加收入。巩固脱贫攻坚成果，实现巩固脱贫攻坚成果与乡村振兴有效衔接。</t>
  </si>
  <si>
    <t>2025年武家庄镇郝家塔村经济联合社果园提升改造项目</t>
  </si>
  <si>
    <t>1、对郝家塔村经济联合社已流转的1022亩果园进行修剪、深翻、打药、除草、施肥等。
2、病虫害防治、整理树坑、修筑水平沟、树枝清理拉运。</t>
  </si>
  <si>
    <t>产权归村集体所有，进一步巩固集体产业，提升林果效益，受益群众425户1085人，其中脱贫户10户、监测户4户共34人。</t>
  </si>
  <si>
    <t>2025年木瓜镇前梁村集体经济联合社小沟则组小杂粮基地配套项目</t>
  </si>
  <si>
    <r>
      <rPr>
        <sz val="14"/>
        <rFont val="仿宋"/>
        <charset val="134"/>
      </rPr>
      <t>在前梁村小沟则旧桩梁计划建设1000方固体蓄水池一座，配套2寸PE上水管600米，2寸PE下水管700米，10kw水泵一台，50mm</t>
    </r>
    <r>
      <rPr>
        <sz val="14"/>
        <rFont val="宋体"/>
        <charset val="134"/>
      </rPr>
      <t>²</t>
    </r>
    <r>
      <rPr>
        <sz val="14"/>
        <rFont val="仿宋"/>
        <charset val="134"/>
      </rPr>
      <t>电缆200米。可灌溉农田800亩。</t>
    </r>
  </si>
  <si>
    <t>该项目产权归集体所有，该项目建成后，利用小沟则的水源，将水储存在蓄水池内，可以对农田实施灌溉800余亩，可以有效提高农户的收入。预计受益农户88户285人，受益脱贫户2户2人。</t>
  </si>
  <si>
    <t>2025年府谷镇郝家寨村经济联合社果园建设项目</t>
  </si>
  <si>
    <t>嫁接优良果树品种（地名石阶铺）100亩，给4个集雨窖抽水设备两台汽油机，200米扬程2寸抽水泵1台及配套管道350米。</t>
  </si>
  <si>
    <t>郝家寨村</t>
  </si>
  <si>
    <t>建成后资产属于郝家寨村经济联合社，受益农户403户1039人，受益脱贫户12户22人，受益监测户1户4人，可以提升果园产量。</t>
  </si>
  <si>
    <t>2025年田家寨镇脱贫户（含监测户）到户产业项目（补充）</t>
  </si>
  <si>
    <t>扶持王沙峁、兴旺庄、李岔、张圪崂、东沟村脱贫户（含监测户）发展种养殖产业项目。高粱15亩，谷子2亩，马铃薯31亩，豆类90亩，羊12只，猪6头，小餐饮等。</t>
  </si>
  <si>
    <t>王沙峁、兴旺庄、李岔、张圪崂、东沟</t>
  </si>
  <si>
    <t>该项目为到户产业项目，形成到户类资产，产权归农户个人，由农户个人负责管护。发展到户产业项目能增加脱贫户16户36人（含监测户）人均纯收入，预计平均每人可增加年纯收入3000元，进一步巩固拓展脱贫攻坚成果。</t>
  </si>
  <si>
    <t>2025年.4-2025.7</t>
  </si>
  <si>
    <t>2025年田家寨镇经济联合总社香菇大棚维修项目</t>
  </si>
  <si>
    <t>香菇大棚270个菌棒架加装钢丝绳横梁；购置大棚自动卷帘机5台；跟换2.5寸国标加厚钢管50根、1.5寸国标镀锌钢管20根，部分支架及相关设施进行维修等。</t>
  </si>
  <si>
    <t>该项目为产业项目，产权属于田家寨镇集体经济联合社，由镇联合社负责管护。预计可增加收入每年1.4万元，增加就业岗位，吸纳村内剩余劳动力就业。可带动脱贫户288户622人（含监测户），受益农户3842户10430人。</t>
  </si>
  <si>
    <t>2025年田家寨镇兴旺庄村种植业基地配套项目</t>
  </si>
  <si>
    <r>
      <rPr>
        <sz val="14"/>
        <rFont val="仿宋"/>
        <charset val="134"/>
      </rPr>
      <t>灌溉工程：新建浮筒式一体泵（200QJ32-117/9-18.5kw）1套，新建3m*3m设备房1间，室外灌溉首部及基础1套。铺设输水管路DN100*4.0国标镀锌钢管90m，De110HDPE管/1.6MPa588m。田间配水管网干管De125HDPE管/1.0MPa3162m，De90HDPE管/1.0MPa1296m，De90PE软带2300米，De16贴片式滴灌带178000米，砌筑闸阀井、排水井及泄水井共17座，出水桩40个，1000m</t>
    </r>
    <r>
      <rPr>
        <sz val="14"/>
        <rFont val="宋体"/>
        <charset val="134"/>
      </rPr>
      <t>³</t>
    </r>
    <r>
      <rPr>
        <sz val="14"/>
        <rFont val="仿宋"/>
        <charset val="134"/>
      </rPr>
      <t>钢筋混凝土蓄水池1座。
农田输配电工程：架设10KV线路650m，YJLV22-3*35+1*25地埋铠装铝电缆410m，安装80KVA变压器1台。</t>
    </r>
  </si>
  <si>
    <t>兴旺庄村</t>
  </si>
  <si>
    <t>该项目为基础设施项目，形成公益性资产，项目建成后产权属于兴旺庄村，由兴旺庄村负责管护运营。项目建成后，可为320亩种植基地提供灌溉，预计每亩可增产200斤，增加收入9万元每年，同时可带动村内劳动力务工就业。带动脱贫户48户109人（含监测户），受益农户547户1489人。巩固脱贫攻坚成果，实现巩固脱贫攻坚成果与乡村振兴有效衔接。</t>
  </si>
  <si>
    <t>2025年田家寨镇王沙峁村种植业基地配套项目项目</t>
  </si>
  <si>
    <t>王沙峁村条建梁、老坟焉实施灌溉项目：具体内容：滴管Φ16长6000米，出水桩500个，200立方米高位水池1座，输水钢管(Φ89×3.5)长1200米，供水主管(Φ90×8.2)长14000米，
供水支管(Φ75×4.5)长4000米，5米大口井(砌石)及机房1座
配电设备:10KV长1KM，380V长1KM，水泵，配电柜等设施２套阀门井等。</t>
  </si>
  <si>
    <t>王沙峁村</t>
  </si>
  <si>
    <t>该项目为基础设施项目，形成公益性资产，项目建成后产权属于王沙峁村，由王沙峁村负责管护运营。项目建成后，可为500亩种植基地提供灌溉预计每亩可增产200斤，增加收入14.88万元每年，受益农户547户1489人，脱贫户4户10人，同时可带动村内劳动力务工就业。巩固脱贫攻坚成果，实现巩固脱贫攻坚成果与乡村振兴有效衔接。</t>
  </si>
  <si>
    <t>2025年田家寨镇王沙峁村经济联合社双膜拱棚维修工程</t>
  </si>
  <si>
    <t>王沙峁村维修8座双模拱棚塑料膜，维修排水渠250米，三相水泵1台，上水管1500米。</t>
  </si>
  <si>
    <t>该项目为产业配套项目，形成公益性资产，产权属于王沙峁村集体经济联合社，由村集体经济负责人管护。项目维修后，双膜拱棚能正常运行，正常收益，预计增加收入1万元每年。带动脱贫户31户80人（含监测户），受益农户396户1046人，增加村集体经济收益。</t>
  </si>
  <si>
    <t>2025年武家庄镇贺家堡行政村果园提升改造项目</t>
  </si>
  <si>
    <t>1.对现有200亩果园进行除草、修剪、浇水管护；
2.购买除草布2万平米、肥料10吨；
3.更换水管1200米、法兰、钢垫费用、管道维修；
4.购买涂料4吨（树干刷白）。</t>
  </si>
  <si>
    <t>贺家堡村</t>
  </si>
  <si>
    <t>产权归村集体所有，进一步巩固集体产业，增加林果效益，预计每年增加村集体经济收入0.2万，受益群众596户1495人，其中脱贫户27户52人、监测户5户9人。</t>
  </si>
  <si>
    <t>2025年府谷县脱贫户（含监测对象）海红果种植项目</t>
  </si>
  <si>
    <t>扶持245户脱贫户（含监测对象）利用自家或流转的闲散土地种植海红果树948.5亩，每亩补助2600元(含种苗费)，按照4:3:3比例分三年兑付。</t>
  </si>
  <si>
    <t>各镇</t>
  </si>
  <si>
    <t>项目产权归村个户所有，由个户负责种植及后续管护。资金拨付到村，镇村根据验收成活情况分三年兑付资金。预计果树挂果后，每年带动245户脱贫户（含监测对象）户均增收2000元。</t>
  </si>
  <si>
    <t>各镇人民政府</t>
  </si>
  <si>
    <t>2025年4月-2025年12月</t>
  </si>
  <si>
    <t>2025年武家庄镇郭家庄则行政村花椒基地提升改造项目</t>
  </si>
  <si>
    <t>对郭家庄则村花椒基地（100亩）提升改造，包括
1.翻地、施肥、培坑、灌溉，树体整形修剪和补苗，病虫害防治；
2.防寒保暖罩2700米。</t>
  </si>
  <si>
    <t>郭家庄则村</t>
  </si>
  <si>
    <t>产权归村集体所有，带动郭家庄则村花椒产业发展，完善基础设施建设。受益群众302户802人，其中脱贫户17户29人，预计增加村集体经济收入5万元，收益的30%用于提取公积公益金，30%用于壮大集体经济联合社，40%用于村内分红。</t>
  </si>
  <si>
    <t>2025年府谷镇石马川村苏家园则组经济合作社果园提升改造项目</t>
  </si>
  <si>
    <t>安装果园防鸟防虫防雹纱网32亩（长530米，宽4米，高6米）。</t>
  </si>
  <si>
    <t>石马川村</t>
  </si>
  <si>
    <t>建成后资产属于石马川村苏家园则组经济合作社，保障约50亩果园的产量，管护人苏怀小，受益农户48户172人，每年可以增加村集体经济收入5万元，采购农家肥可以带动附近农户增收2万元，可以带动附近农户4人就业。</t>
  </si>
  <si>
    <t>2025年田家寨镇胡家沟村柴家沟组双膜拱棚维护工程</t>
  </si>
  <si>
    <t>更换双膜拱棚标准棚20座的塑料外膜，维修因地质灾害造成损坏的双膜拱棚一座，并对地基进行加固，维修拱棚大门20副等。</t>
  </si>
  <si>
    <t>该项目为产业帮扶项目，形成经营性资产，项目建成后产权属于胡家沟村经济联合社，由胡家沟村经济联合社负责人负责管护。充分发挥联合社的持续带动作用，提高双膜拱棚产出效益，预计增加收入每年1.5万元，带动334户960人（其中脱贫户（含监测户）27户63人）增加收入，吸纳剩余劳动力务工就业。巩固脱贫成果，壮大集体经济，带动农户增收。</t>
  </si>
  <si>
    <t>2025年田家寨镇李岔村经济联合社双膜拱棚维护工程</t>
  </si>
  <si>
    <t>更换24座双膜拱棚塑料膜，维修拱棚大门24副，土方回填，排水维修等。</t>
  </si>
  <si>
    <t>该项目为产业帮扶项目，形成经营性资产，项目建成后产权属于李岔村经济联合社，由李岔村经济联合社负责人负责管护。充分发挥联合社的持续带动作用，提高双膜拱棚产出效益，预计可增加收入1.9万元每年，带动517户1385人（其中脱贫户（含监测户）56户116人），增加收入。巩固脱贫成果，壮大集体经济，带动农户增收。</t>
  </si>
  <si>
    <t>2025年府谷县哈镇哈镇村杂粮种植基地建设项目</t>
  </si>
  <si>
    <t>在哈镇村沙坪梁、石应塔、惠家沟组种植300亩高粱、种植100亩糜子。</t>
  </si>
  <si>
    <t>该项目建成后，不形成资产，预计带动村集体增收5万元。村集体经济收益分配为：10%作为项目可持续发展资金，剩余的90%作为人口股、土地股、集体股、脱贫户优先股的利润分红，其中收益的5%优先分配于以土地入股的村民，2%作为脱贫户和监测户优先股，剩余按人头股进行分红。该项目利益联结机制为集体经济分红和带动务工就业，预计受益农户617户1498人（脱贫户52户85人）。</t>
  </si>
  <si>
    <t>2025年府谷县哈镇戏楼沟村荞麦种植基地建设项目</t>
  </si>
  <si>
    <t>新建荞麦种植基地，种植荞麦100亩。</t>
  </si>
  <si>
    <t>戏楼沟村</t>
  </si>
  <si>
    <t>该项目为种植类项目，不形成资产。预计荞麦亩产增收5斤，带动村集体年增收0.2万元，受益农户351户873人（脱贫户13户25人）。通过股份分红、以工代赈等方式联农带农，优先为脱贫户提供务工岗位，户均年增收约500元，助力巩固脱贫成果。</t>
  </si>
  <si>
    <t>2025年府谷县哈镇硬路塔村小杂粮种植基地建设项目</t>
  </si>
  <si>
    <t>在高标准农田种植高粱500亩，荞麦300亩。</t>
  </si>
  <si>
    <t>硬路塔村</t>
  </si>
  <si>
    <t>该项目为种植类项目，不形成资产。通过规模化种植，预计高粱亩产增收10斤、荞麦亩产增收8斤，带动村集体年增收2万元，受益农户366户921人，其中脱贫户16户40人。通过股份分红、以工代赈等方式联农带农，优先为脱贫户提供务工岗位，户均年增收约500元，助力巩固脱贫成果。</t>
  </si>
  <si>
    <t>2025年府谷县哈镇大岔村韩家湾高粱种植基地建设项目</t>
  </si>
  <si>
    <t>在大岔村韩家湾组村集体土地实施以下建设内容：平整土地80亩，并在平整后的80亩土地上种植高粱</t>
  </si>
  <si>
    <t>大岔村</t>
  </si>
  <si>
    <t>该项目为种植类项目，不形成资产。通过土地平整和高粱种植，预计带动村集体增收1.3万元。直接受益农户449户1146人，其中脱贫户55户119人。项目建成后，预计高粱亩产提升15斤，年增收约1万元，通过股份分红、以工代赈等方式联农带农，差异化分配机制（村集体收益的10%用于公益事业，5%优先分配脱贫户），助力巩固脱贫攻坚成果。</t>
  </si>
  <si>
    <t>2025年府谷县哈镇糜茬焉村荞麦种植基地建设项目</t>
  </si>
  <si>
    <t>在糜茬焉村集体土地种植荞麦300亩。</t>
  </si>
  <si>
    <t>糜茬焉村</t>
  </si>
  <si>
    <t>该项目为种植类项目，不形成资产。通过规模化种植荞麦300亩，预计带动村集体增收0.36万元。直接受益农户300户780人，其中脱贫户30户75人。通过股份分红、以工代赈等方式联农带农，差异化分配收益：村集体经济收益的6%用于公益事业，剩余部分按土地入股比例分配，其中5%优先分配脱贫户。</t>
  </si>
  <si>
    <t>2025年府谷县哈镇大阴湾行政村集体经济合作社高粱种植基地建设项目</t>
  </si>
  <si>
    <t>在大阴湾行政村2024年实施的35亩高标准农田上种植高粱35亩。</t>
  </si>
  <si>
    <t>大阴湾村</t>
  </si>
  <si>
    <t>该项目为种植类项目，不形成资产。通过规模化种植高粱35亩，预计带动村集体增收0.35万元。直接受益农户567户1418人，其中脱贫户51户109人。通过股份分红、以工代赈等方式联农带农，差异化分配收益：村集体经济收益的6%用于公益事业，剩余部分按土地入股比例分配，其中5%优先分配脱贫户。</t>
  </si>
  <si>
    <t>2025年度府谷县孤山镇李家洼村到户产业项目</t>
  </si>
  <si>
    <t>李家洼村监测户白战良种植中药材黄芩30亩</t>
  </si>
  <si>
    <t>为监测户发展种植产业进行补贴，发展壮大到户产业，增加收入，确保不出现致贫情况。</t>
  </si>
  <si>
    <t>2025年度孤山镇岳家寨村经济联合社种植基地配套项目</t>
  </si>
  <si>
    <r>
      <rPr>
        <sz val="14"/>
        <rFont val="仿宋"/>
        <charset val="134"/>
      </rPr>
      <t>为460亩小杂粮种植基地实施节水灌溉配套设施，建设内容及工程投资为:
1、截流井:竖井深10.0m，钢砼渗渠25.0m，管理房1座；
2、高位水池:1000m</t>
    </r>
    <r>
      <rPr>
        <sz val="14"/>
        <rFont val="宋体"/>
        <charset val="134"/>
      </rPr>
      <t>³</t>
    </r>
    <r>
      <rPr>
        <sz val="14"/>
        <rFont val="仿宋"/>
        <charset val="134"/>
      </rPr>
      <t>圆型砼池1座；
3、输水工程：明敷D108×4.0无缝钢管320m,埋设110*10.0PE管1930.0m；
4、灌溉管网:供水主管110*6.6PE管7000.0m,支供水管1110PE软带、0.3MP2000.0m,出水桩80个，阀门井15座；
5、机电设备：380V供电线路550.0m,水泵1台。</t>
    </r>
  </si>
  <si>
    <t>项目建设后产权归村集体所有，配套灌溉设施改善460亩农田种植条件，彻底摆脱靠天吃饭困境，为发展壮大村集体产业助力，能够带动231户589人发展产业，其中脱贫户11户22人。</t>
  </si>
  <si>
    <t>2025年府谷镇柳林碛村经济联合社农机采购项目</t>
  </si>
  <si>
    <t>购买中华龙型自走式拱棚平膜盖膜机1台，柴油192F卧式碎枝机1台，双盘四轮撒肥机1台，3WDZ-170B遥控打药机1台，3PJ-3葡萄扫土机1台，72V70A电动三轮车1台，195柴油电启动起垄机1台，双行汽油款多功能小型移载机1台。</t>
  </si>
  <si>
    <t>柳林碛村</t>
  </si>
  <si>
    <t>建成后资产属于柳林碛村经济联合社，可以有效提高大棚果园葡萄园的生产效率，降低生产成本，可以增加村集体经济收入2万元，收受益25%提取公积金，75%用于村内分红，受益农户354户962人，受益脱贫户12户18人。</t>
  </si>
  <si>
    <t>2025年府谷镇贺家畔村经济联合社农机采购项目</t>
  </si>
  <si>
    <t>采购904拖拉机1台，配套2米旋耕机1台，播种机1台；采购1204拖拉机1辆，配套选2.3米旋耕机1台。配套农机3米高彩钢停车棚100平米。</t>
  </si>
  <si>
    <t>贺家畔村</t>
  </si>
  <si>
    <t>建成后资产属于府谷镇贺家畔村经济联合社，受益农户400户1110人，受益脱贫户26户44人，每年可以增加村集体经济收入2.1元，收益20%提取公积金，80%分红。可以带动村内农户就业，提高村内农作物种植效率。</t>
  </si>
  <si>
    <t>2025年度孤山镇经济联合总社辣椒种植基地配套项目</t>
  </si>
  <si>
    <t>新建辣椒基地烘干项目，主要内容包括：场平、硬化场地1000㎡，新建600㎡保鲜库1座，购置智能热泵烘干房2套、清选机1台、辣椒色选机1台、辣椒剪把机2台，配套彩钢遮雨棚及其他设施。</t>
  </si>
  <si>
    <r>
      <rPr>
        <sz val="14"/>
        <rFont val="仿宋"/>
        <charset val="134"/>
      </rPr>
      <t>该项目建成后，产权归镇联合总社所有，由镇经济联合总社统一进行管理运营。项目运营后预计达每年受益17万元以上。能有效解决辣椒存储、烘干问题，推广特色产业种植，切实增加群众收入，壮大集体经济，实现农业增效益、农民增收入、农村增活力。</t>
    </r>
    <r>
      <rPr>
        <sz val="14"/>
        <rFont val="Times New Roman"/>
        <charset val="134"/>
      </rPr>
      <t>​</t>
    </r>
    <r>
      <rPr>
        <sz val="14"/>
        <rFont val="仿宋"/>
        <charset val="134"/>
      </rPr>
      <t>项目收益70%用于11个村红利分配，30%用于提取公益公积金发展全镇各项事业。带动激发全镇4403户12252人群众发展产业项目积极性</t>
    </r>
    <r>
      <rPr>
        <sz val="14"/>
        <rFont val="Times New Roman"/>
        <charset val="134"/>
      </rPr>
      <t>​</t>
    </r>
    <r>
      <rPr>
        <sz val="14"/>
        <rFont val="仿宋"/>
        <charset val="134"/>
      </rPr>
      <t>，其中带动166户335人脱贫群众产业增收，极大巩固提升脱贫成果。</t>
    </r>
  </si>
  <si>
    <t>2025年度孤山镇沙坬村经济联合社小杂粮种植基地配套设施建设项目</t>
  </si>
  <si>
    <t>现已建成上水设施一套（包括水源井、上水管道、高位水池500立方一座），但无法满足300余亩高标准农田旱季灌溉用水。现需新建1200立方米钢筋混凝土高位水池1座，配套供水管线800米，供水软管5000米，井房电力调压柜1台，供电线20米等附属设施；同时配套种植糜子、高粱300亩。</t>
  </si>
  <si>
    <t>项目建设后产权归村集体所有，极大改善提升种植条件，增加土地种植产出，带动全村434户1174人发展高效农业，其中脱贫户12户25人，监测户2户6人。收益30%用于村民红利，50%用于村集体经济后续产业发展，20%用于完善村内基础设施建设。</t>
  </si>
  <si>
    <t>2025年府谷镇柳林碛村经济联合社果园葡萄园大棚配套项目</t>
  </si>
  <si>
    <t>采购除草布1米宽200米长200卷、给50亩葡萄园安装宽1.6m打孔防雨膜、采购无孔0.4mm厚1000米60卷滴灌带，采购38mm厚承重3吨1.2m宽*3m长的玻璃钢格栅板1000块。</t>
  </si>
  <si>
    <t>建成后资产属于柳林碛村经济联合社，可以提高果园葡萄园大棚的产量，可以增加村集体经济收入3万元，收受益25%提取公积金，75%用于村内分红，受益农户354户962人，受益脱贫户12户18人。</t>
  </si>
  <si>
    <t>2025年府谷镇温李河村小杂粮种植基地配套建设项目</t>
  </si>
  <si>
    <r>
      <rPr>
        <sz val="14"/>
        <rFont val="仿宋"/>
        <charset val="134"/>
      </rPr>
      <t>新建1000m</t>
    </r>
    <r>
      <rPr>
        <sz val="14"/>
        <rFont val="宋体"/>
        <charset val="134"/>
      </rPr>
      <t>³</t>
    </r>
    <r>
      <rPr>
        <sz val="14"/>
        <rFont val="仿宋"/>
        <charset val="134"/>
      </rPr>
      <t>混凝土蓄水池1座，新建417亩田间管网1套，输水管网1套，3*3m配电房2座，50KVA变压器2台，10kv高压架空线100m。</t>
    </r>
  </si>
  <si>
    <t>温李河村</t>
  </si>
  <si>
    <t>建成后资产属于温李河村，受益群众178户600人，可以增加417亩小杂粮的产量。</t>
  </si>
  <si>
    <t>2025年黄甫镇前园则行政村红辣椒和油葵种植基地建设项目</t>
  </si>
  <si>
    <t>对现有120亩土地进行土壤改良，打造原生态土地，购买种苗和籽种，种植红辣椒和油葵。</t>
  </si>
  <si>
    <t>前园则村</t>
  </si>
  <si>
    <t>该项目为产业帮扶项目，产权归村集体所有，由村集体负责人负责管护。建设完成后可每年为前园则村经济合作社增收2万余元。收益的70%用于产业后续发展，30%用于集体经济合作社分红，增加群众收入，稳固脱贫成果。受益群众287户936人，其中脱贫户15户42人、监测户2户4人。</t>
  </si>
  <si>
    <t>2025年黄甫镇坪伦墩行政村贾家湾自然村玉米种植基地配套建设项目</t>
  </si>
  <si>
    <r>
      <rPr>
        <sz val="14"/>
        <rFont val="仿宋"/>
        <charset val="134"/>
      </rPr>
      <t>新建1000m</t>
    </r>
    <r>
      <rPr>
        <sz val="14"/>
        <rFont val="宋体"/>
        <charset val="134"/>
      </rPr>
      <t>³</t>
    </r>
    <r>
      <rPr>
        <sz val="14"/>
        <rFont val="仿宋"/>
        <charset val="134"/>
      </rPr>
      <t>混凝土蓄水池1座，新建459亩田间管网1套，输水管网1套，4*4m泵房1座，50KVA变压器1台，10kv高压架空线240m。</t>
    </r>
  </si>
  <si>
    <t>坪伦墩村</t>
  </si>
  <si>
    <t>该项目为产业配套设施项目，形成公益性资产，产权归村集体所有，由村集体负责人负责管护。项目的实施可有效解决种植基地灌溉问题，提升灌溉效率、优化水资源配置、提高作物产量与质量，受益农户96户218人，其中脱贫户7户13人。</t>
  </si>
  <si>
    <t>2025年黄甫镇麻镇行政村陈庄村小杂粮种植基地配套建设项目</t>
  </si>
  <si>
    <r>
      <rPr>
        <sz val="14"/>
        <rFont val="仿宋"/>
        <charset val="134"/>
      </rPr>
      <t>新建1000m</t>
    </r>
    <r>
      <rPr>
        <sz val="14"/>
        <rFont val="宋体"/>
        <charset val="134"/>
      </rPr>
      <t>³</t>
    </r>
    <r>
      <rPr>
        <sz val="14"/>
        <rFont val="仿宋"/>
        <charset val="134"/>
      </rPr>
      <t>混凝土蓄水池1座，新建310亩田间管网1套，5座大棚灌溉设施1套，4*4m泵房1座，50KVA变压器1台，10kv高压架空线150m。</t>
    </r>
  </si>
  <si>
    <t>麻镇村</t>
  </si>
  <si>
    <t>该项目为产业配套设施项目，形成公益性资产，产权归村集体所有，由村集体负责人负责管护。项目的实施可有效解决种植基地灌溉问题，提升灌溉效率、优化水资源配置、提高作物产量与质量，受益农户485户1243人，其中脱贫户20户35人，监测户2户3人。</t>
  </si>
  <si>
    <t>2025年黄甫镇黄甫村集体经济联合社油葵种植项目</t>
  </si>
  <si>
    <t>种植油葵100亩，进行土壤改良，购买籽种，进行覆膜种植、除草、收获等，铺设2寸PE水管1700米。</t>
  </si>
  <si>
    <t>该项目为产业帮扶项目，产权归村集体所有，由村集体负责人负责管护。预计带动黄甫村集体经济联合社增收约5万元。提取该项目利润50%用于壮大村集体经济发展，40%用于一般农户分红，剩余10%用于脱贫户、监测户分红。受益农户563户1291人，其中脱贫户6户8人，监测户1户2人。</t>
  </si>
  <si>
    <t>2025年黄甫镇刘家坪行政村后尧湾村玉米高粱种植基地配套建设项目</t>
  </si>
  <si>
    <t>后尧湾自然村新建2000立方米土工膜高位水池一个及周边栅栏；新建深10米、直径4米水井1眼；铺设3寸PE输水管道2000米；购置三项6038型3寸潜水泵一台。</t>
  </si>
  <si>
    <t>该项目为产业配套设施项目，形成公益性资产，产权归村集体所有，由村集体负责人负责管护。项目的实施能方便群众进行农田灌溉，优化水资源配置、提升灌溉效率、促进农作物稳产增产。受益群众454户1117人，其中脱贫户13户29人。</t>
  </si>
  <si>
    <t>2025年黄甫镇刘家坪行政村蔺家坪村玉米高粱种植基地配套建设项目</t>
  </si>
  <si>
    <t>在蔺家坪自然村新建200立方米高位水池1个；新建50立方米小型混凝土集雨窖10个。</t>
  </si>
  <si>
    <t>2025年黄甫镇坪伦墩行政村石榴峁自然村玉米西瓜种植基地配套建设项目</t>
  </si>
  <si>
    <t>购置200QJ63-84/7-25潜水泵一台、3.0MPa钢丝软管6m、焊接水泵支架及15m倒链葫芦一套、混凝土镇墩及配件，配电房及其内配电设施包括9㎡配电房、软启动柜、配电柜、5G远程水泵启动系统各一台、电缆照明等其他配件；铺设上水管线4.0MPaDN100无缝钢管20m、De140HDPE管1.25MPa1300m；架设10KV高压输配电线路0.24km、地埋YJLV22-3*50+1*25mm铠装电缆30m、SC11-50KVA变压器一台包括电容柜配、电柜及其他材料。</t>
  </si>
  <si>
    <t>该项目为产业配套设施项目，形成公益性资产，产权归村集体所有，由村集体负责人负责管护。项目的实施能方便群众进行农田灌溉，优化水资源配置、提升灌溉效率、促进农作物稳产增产，受益农户137户391人，其中脱贫户10户23人。</t>
  </si>
  <si>
    <t>2025年黄甫镇坪伦墩行政村石榴峁自然村双膜拱棚维修改造项目</t>
  </si>
  <si>
    <t>更换15座双膜拱棚环氧树脂膜、跟换大棚双层门及门框钢架1200米、维修及更换钢架480米及其他配套设施。</t>
  </si>
  <si>
    <r>
      <rPr>
        <sz val="14"/>
        <rFont val="仿宋"/>
        <charset val="134"/>
      </rPr>
      <t>该项目为产业帮扶项目，产权归村集体所有，由村集体负责人负责管护。通过维修双膜拱棚，确保拱棚的正常使用，改善农业生产条件，促进农业增收</t>
    </r>
    <r>
      <rPr>
        <sz val="14"/>
        <rFont val="Times New Roman"/>
        <charset val="134"/>
      </rPr>
      <t>‌</t>
    </r>
    <r>
      <rPr>
        <sz val="14"/>
        <rFont val="仿宋"/>
        <charset val="134"/>
      </rPr>
      <t>，受益农户703户1745人，其中脱贫户32户68人，监测户2户3人（已脱贫监测户1户2人）。</t>
    </r>
  </si>
  <si>
    <t>2025年黄甫镇段寨行政村100亩经济林果园提升改造项目</t>
  </si>
  <si>
    <t>对段寨村100亩果园修剪树枝、肥料、施肥、浇水、除草、打药、整理树坑、铺除草布3300块。</t>
  </si>
  <si>
    <t>段寨村</t>
  </si>
  <si>
    <t>该项目为产业配套设施项目，由村集体负责人负责管护。项目的实施可促进果园产量提升，防止病虫害侵扰，进一步提升水果产量，项目实施期间带动村内3人临时务工。受益农户444户1088人，其中脱贫户8户12人，监测户4户9人（已脱贫监测户1户1人）。</t>
  </si>
  <si>
    <t>2025年3月至11月</t>
  </si>
  <si>
    <t>2025年府谷县哈镇硬路塔行政村集体经济合作社特色品种贝贝南瓜种植基地建设项目</t>
  </si>
  <si>
    <t>在哈镇硬路塔行政村西湾组到八石峁进行土地深松、增施有机肥，种植贝贝南瓜200亩，2寸软管4.4千米，滴管带132千米。铺设长1.5千米，宽3米，砖砌生产道路1条。</t>
  </si>
  <si>
    <t>该项目建成后，将形成公益性资产，且资产产权归村集体所有，由村集体自主运营管护，预计实现南瓜亩产增收10斤，带动村集体增收20万元。村集体经济收益分配为：10%作为项目可持续发展资金，剩余的90%作为人口股、土地股、集体股、脱贫户优先股的利润分红，其中收益的5%优先分配于以土地入股的村民，2%作为脱贫户和监测户优先股，剩余按人头股进行分红。该项目利益联结机制为集体经济分红和带动务工就业，预计受益农户366户，其中脱贫户及监测户16户40人。</t>
  </si>
  <si>
    <t>2025年府谷县哈镇店塔村高粱种植基地建设项目</t>
  </si>
  <si>
    <t>在店塔村平整土地50亩并种植高粱50亩，购买高粱种子150斤，配套实施土地整理、播种等环节，完善农田基础设施，提升种植效率。</t>
  </si>
  <si>
    <t>店塔村</t>
  </si>
  <si>
    <t>该项目为种植类项目，不形成资产，由村集体自主运营。项目实施后，预计带动村集体年增收0.48万元（占项目资金8万元的6%），受益农户351户873人，其中脱贫户13户25人。通过土地流转和规模化种植，差异化分配收益：村集体经济收益的10%用于可持续发展资金，剩余90%按人口股分配，其中5%优先保障脱贫户和监测户。</t>
  </si>
  <si>
    <t>2025年清水镇到户产业项目</t>
  </si>
  <si>
    <t>全镇脱贫户（含监测户）共种植玉米190亩、高粱55亩、糜子81亩、谷子91亩、马铃薯35.93亩、豆类16亩、中药材4亩，养殖羊子192只。</t>
  </si>
  <si>
    <t>清水镇</t>
  </si>
  <si>
    <t>促进脱贫户自主产业发展动力，受益脱贫户（包含监测户）52户110人，预计脱贫户（包含监测户）年底户均收入增加3000元</t>
  </si>
  <si>
    <t>清水镇人民政府</t>
  </si>
  <si>
    <t>2025年4月-8月</t>
  </si>
  <si>
    <t>2025年度清水镇王大庄村双膜拱棚维修项目</t>
  </si>
  <si>
    <t>为20座大棚更换1.2丝塑料薄膜，并为其中8座大棚进行土壤改良，换土1152方。</t>
  </si>
  <si>
    <t>王大庄村</t>
  </si>
  <si>
    <t>项目建成后，产权归集体所有，增加农民受益，预计每年增收2万元。带动群众478户1412人，其中脱贫户（监测户）23户47人</t>
  </si>
  <si>
    <t>2025年度清水镇王大庄村暖棚维修项目</t>
  </si>
  <si>
    <t>在暖棚后墙处拉土方垫高，需675方土，并用机具整理碾压，挖60米长排水3处</t>
  </si>
  <si>
    <t>项目建成后，产权归集体所有，增加农民受益，预计每年增收3万元。带动群众478户1412人，其中脱贫户（监测户）23户47人</t>
  </si>
  <si>
    <t>2025年老高川镇到户产业项目</t>
  </si>
  <si>
    <t>扶持全镇55户脱贫户（含监测对象）发展到户产业，共计种植高质量玉米286亩，精良高粱4亩，谷子2亩，荞麦9亩，马铃薯100亩，豆类11亩，养殖羊134只，猪106头，鸡237只，补助金额36.461万元。</t>
  </si>
  <si>
    <t>对55户126人脱贫户自主发展产业进行奖补，每户不超1万元，提高脱贫户对衔接政策的满意度。</t>
  </si>
  <si>
    <t>2025年1-12月</t>
  </si>
  <si>
    <t>2025年木瓜镇常塔村集体经济合作社特色糜谷种植基地配套项目</t>
  </si>
  <si>
    <t>在常塔刘陈家沟岔处打60米深井一座，配套水泵1台，管道250米；石畔梁湾打60米深井一座米深井一座，配套水泵1台，管道250米；油坊塔石多塔打300米深井一座，配套水泵1台，管道500米。</t>
  </si>
  <si>
    <t>该项目建成后，将形成公益性资产，产权归常塔村集体经济联合社所有，由集体自主运营管护，能有效保障3000余亩特色糜谷增产增效，同时也能为周边抗旱保粮提供应急储水，间接带动村集体收入。受益农户133户410人，其中脱贫户6户19人。</t>
  </si>
  <si>
    <t>2025年木瓜镇尧坬坡村集体经济联合社万亩有机糜谷基地苏石畔段农田配套项目</t>
  </si>
  <si>
    <r>
      <rPr>
        <sz val="14"/>
        <rFont val="仿宋"/>
        <charset val="134"/>
      </rPr>
      <t>在苏石畔自然村新建一个井深30米，口径2米的灌溉水井，配套一个300立方米的蓄水池、上下2寸PE管道1000米及水泵一台（扬程100米），50mm</t>
    </r>
    <r>
      <rPr>
        <sz val="14"/>
        <rFont val="宋体"/>
        <charset val="134"/>
      </rPr>
      <t>²</t>
    </r>
    <r>
      <rPr>
        <sz val="14"/>
        <rFont val="仿宋"/>
        <charset val="134"/>
      </rPr>
      <t>电缆100米。</t>
    </r>
  </si>
  <si>
    <t>尧坬坡村</t>
  </si>
  <si>
    <t>该项目产权归集体所有，项目建成后，可以提高水分利用率，稳定农作物产量，带动村民生产经营性收入，受益农户129户357人，受益脱贫户7户16人。</t>
  </si>
  <si>
    <t>2025年木瓜镇尧坬坡村集体经济联合社万亩有机糜谷基地杜里梁段农田配套项目</t>
  </si>
  <si>
    <t>在杜里梁自然村新建一个井深30米，口径2米，30立方米的灌溉水井，配套水泵一台（功率5KW，扬程60米），2寸布质灌溉管道100米。</t>
  </si>
  <si>
    <t>该项目产权归集体所有，项目建成后，可以提高水分利用率，稳定农作物产量，带动村民生产经营性收入，受益农户42户111人，受益脱贫户2户5人。</t>
  </si>
  <si>
    <t>2025年度古城镇园则湾村集体经济合作社高位水池及配套建设项目</t>
  </si>
  <si>
    <r>
      <rPr>
        <sz val="14"/>
        <rFont val="仿宋"/>
        <charset val="134"/>
      </rPr>
      <t>在园则湾村园则湾组新修2000m</t>
    </r>
    <r>
      <rPr>
        <sz val="14"/>
        <rFont val="宋体"/>
        <charset val="134"/>
      </rPr>
      <t>³</t>
    </r>
    <r>
      <rPr>
        <sz val="14"/>
        <rFont val="仿宋"/>
        <charset val="134"/>
      </rPr>
      <t>高位蓄水池一个。配套直径为110mmPE管2000m（包括上水和下水）的灌溉管道，配套三相高扬程水泵一台。</t>
    </r>
  </si>
  <si>
    <t>园则湾村</t>
  </si>
  <si>
    <t>该项目产权归村集体所有；项目实施后，可解决园则湾水地1000亩的灌溉，预计增产100斤/亩；受益农户310户760人，其中脱贫户1户1人，监测户1户2人。</t>
  </si>
  <si>
    <t>2025年1月-11月</t>
  </si>
  <si>
    <t>2025年度古城镇王家梁村集体经济合作社农田灌溉配套建设项目</t>
  </si>
  <si>
    <r>
      <rPr>
        <sz val="14"/>
        <rFont val="仿宋"/>
        <charset val="134"/>
      </rPr>
      <t>在树坪自然村十里长川取水，计划增容100KV变压器，新建2000m</t>
    </r>
    <r>
      <rPr>
        <sz val="14"/>
        <rFont val="宋体"/>
        <charset val="134"/>
      </rPr>
      <t>³</t>
    </r>
    <r>
      <rPr>
        <sz val="14"/>
        <rFont val="仿宋"/>
        <charset val="134"/>
      </rPr>
      <t>高位蓄水池，配套建设上水管道90㎜PE管道3000米、水阀30个，进地输水管道为2寸PE材质7000米、配套高扬程200米水泵1个，输电线1000米等设施，用于土地的灌溉。</t>
    </r>
  </si>
  <si>
    <t>项目实施后产权归集体所有；项目实施后可以灌溉400亩高标准农田，促进土地粮食增产，涉及一般农户包括脱贫户和三类户户均约增收300元/年。</t>
  </si>
  <si>
    <t>2025年度古城镇古城村集体经济合作社农田灌溉设施建设项目</t>
  </si>
  <si>
    <r>
      <rPr>
        <sz val="14"/>
        <rFont val="仿宋"/>
        <charset val="134"/>
      </rPr>
      <t>在古城村前坪自然村建设截潜流蓄水项目，卧管长200m,内径1.5m；竖井200m</t>
    </r>
    <r>
      <rPr>
        <sz val="14"/>
        <rFont val="宋体"/>
        <charset val="134"/>
      </rPr>
      <t>³</t>
    </r>
    <r>
      <rPr>
        <sz val="14"/>
        <rFont val="仿宋"/>
        <charset val="134"/>
      </rPr>
      <t>；蓄水池2000m</t>
    </r>
    <r>
      <rPr>
        <sz val="14"/>
        <rFont val="宋体"/>
        <charset val="134"/>
      </rPr>
      <t>³</t>
    </r>
    <r>
      <rPr>
        <sz val="14"/>
        <rFont val="仿宋"/>
        <charset val="134"/>
      </rPr>
      <t>；铺设上水管110PE管道1000m,水泵2台，专变1台以及围栏等设施。</t>
    </r>
  </si>
  <si>
    <t>项目建成后归古城村集体经济合作社所有；项目实施后，保障古城村前坪自然村1200亩耕地灌溉用水，预计土地农作物亩产增收12%；村集体经济进一步增收，实现集体经济“消薄培强”，村集体经济项目收益分配为：公益公积金50％；提取投资积累金30％；股东红利分配金20％；项目实施过程中预计可以提供临时就业岗位2个，实现农户家门口就业；带动3个村组354户914人受益（其中脱贫户和监测户3户3人）；提升群众满意度。</t>
  </si>
  <si>
    <t>2025年度古城镇古城村集体经济合作社农田灌溉设施配套建设项目</t>
  </si>
  <si>
    <r>
      <rPr>
        <sz val="14"/>
        <rFont val="仿宋"/>
        <charset val="134"/>
      </rPr>
      <t>在古城村后城自然村修建10000m</t>
    </r>
    <r>
      <rPr>
        <sz val="14"/>
        <rFont val="宋体"/>
        <charset val="134"/>
      </rPr>
      <t>³</t>
    </r>
    <r>
      <rPr>
        <sz val="14"/>
        <rFont val="仿宋"/>
        <charset val="134"/>
      </rPr>
      <t>蓄水池一座，配套水泵、3500米管道、500m电缆等设施。</t>
    </r>
  </si>
  <si>
    <t>项目建成后归古城村集体经济合作社所有；项目实施后，保障古城村1600亩耕地灌溉用水，预计土地农作物亩产增收10%；村集体经济进一步增收，实现集体经济“消薄培强”，村集体经济项目收益分配为：公益公积金50％；提取投资积累金30％；股东红利分配金20％。项目实施过程中预计可以提供临时就业岗位10个，实现农户家门口就业；带动全村1335户3164人受益（其中脱贫户和监测户31户45人）；提升群众满意度。</t>
  </si>
  <si>
    <t>2025年武家庄镇武家庄行政村集体经济合作社流转土地滴灌项目</t>
  </si>
  <si>
    <t>①建设一座500方高位水池；②建设截潜流井2.5米宽，40米长，5米深，配套直径2米深10米竖井，30型号变压器，高压35型号电线1公里，2寸PE管6公里，300扬程抽水泵1台；③滴灌管网1120亩。</t>
  </si>
  <si>
    <t>武家庄村</t>
  </si>
  <si>
    <t>壮大村集体经济，提高灌溉效率，带动村民发展种植业，提高514户1342人农民收入，其中脱贫户19户40人。预计每年增加村集体经济收入3万元。</t>
  </si>
  <si>
    <t>2025年4月-2025年6月</t>
  </si>
  <si>
    <t>2025年武家庄镇川头行政村刘林峁组灌溉工程配套上水管道</t>
  </si>
  <si>
    <t>配备3寸上水管道750余米，预计每米150元左右（112500），3吋水泵（6000元）。满足70余亩农田灌溉需求。</t>
  </si>
  <si>
    <t>川头村</t>
  </si>
  <si>
    <t>满足70余亩农田灌溉需求，增加53户178名农户收入（其中脱贫户8户15人）。</t>
  </si>
  <si>
    <t>2025年黄甫镇墙头村西瓜、玉米基地灌溉U型渠建设项目</t>
  </si>
  <si>
    <t>在墙头村修建田间灌溉主渠，水渠类型为60U型渠，全长850米。</t>
  </si>
  <si>
    <t>墙头村</t>
  </si>
  <si>
    <t>产权归村集体所有，有效改善群众灌溉条件，完善村内基础设施，方便群众生产、生活，受益农户320户790人，其中脱贫户12户23人。</t>
  </si>
  <si>
    <t>2025年2月-2025年10月</t>
  </si>
  <si>
    <t>2025年府谷镇王家畔村红焉组果园等产业配套高位水窖建设</t>
  </si>
  <si>
    <t>建设500方容量水窖含配套设施。</t>
  </si>
  <si>
    <t>建成后资产属于王家畔村经济联合社，村集体每年可以收益20万元，受益脱贫户301户818人，受益脱贫户22户39人，受益监测户1户6人，收益20%提取公积金，80%用于分红。</t>
  </si>
  <si>
    <t>2025年孤山镇房塔行政村下杜庄一、二自然村种植基地配套设施建设项目</t>
  </si>
  <si>
    <r>
      <rPr>
        <sz val="14"/>
        <rFont val="仿宋"/>
        <charset val="134"/>
      </rPr>
      <t>现有高标准农田800亩主要已种植玉米为主，现需配套建设混凝土高位水池200m</t>
    </r>
    <r>
      <rPr>
        <sz val="14"/>
        <rFont val="宋体"/>
        <charset val="134"/>
      </rPr>
      <t>³</t>
    </r>
    <r>
      <rPr>
        <sz val="14"/>
        <rFont val="仿宋"/>
        <charset val="134"/>
      </rPr>
      <t>、新修水渠2500米、铺设2寸PE进地输水管道16000米、维修原有水源井1座、维修原有上水管道2000米，配套变压器及输电线路等。</t>
    </r>
  </si>
  <si>
    <t>项目建设后产权归村集体所有，由房塔村经济联合社负责运营管护，预计可以为800亩高标准农田提供灌溉，预计每亩增收200斤粮食，预计每年为村集体带来收益20万元。带动全村40户110人（其中脱贫户1户3人）发展产业增收，其中收益70%用于村民分红，30%用于村集体发展。</t>
  </si>
  <si>
    <t>2025年府谷镇温李河一二三四村小杂粮种植基地配套项目</t>
  </si>
  <si>
    <t>灌溉主水路：2寸PE管3500米，1000方的混凝土高位水池。</t>
  </si>
  <si>
    <t>建成后资产属于温李河村，受益群众178户600人，可以增加600余亩高标准农田的产量。</t>
  </si>
  <si>
    <t>2025年府谷县哈镇大岔村集体经济合作社韩家湾组高粱种植基地配套项目</t>
  </si>
  <si>
    <t>为大岔村韩家湾组高粱种植基地配套新建截潜流井1座（长170米，容积500立方米），配备PE2寸主管600米，完善农田灌溉设施，保障基地抗旱能力。</t>
  </si>
  <si>
    <t>该项目为产业配套基础设施项目，形成公益性资产，产权归大岔村集体所有，由村集体经济联合社负责管护。项目实施后，预计提升高粱种植基地灌溉效率，覆盖80亩农田，受益农户449户1146人，其中脱贫户55户119人。通过完善水利设施，预计带动村集体增收4.8万元（按项目资金80万元的6%计算），并提高农作物产量10%以上，助力农业规模化发展。</t>
  </si>
  <si>
    <t>2025年府谷县哈镇大阴湾行政村集体经济合作社高粱种植基地配套项目</t>
  </si>
  <si>
    <t>为大阴湾行政村高粱种植基地配套截潜流井1座，潜流井直径3米、深12米，浆砌石截流槽80米，口径3寸的pe输水管道500米，配套1000W水泵1台。</t>
  </si>
  <si>
    <t>该项目建成后，将形成公益性资产，且资产产权归村集体所有，由村集体自主运营管护，能够为2024年实施的35亩高标准农田提供充足水源，确保提高抗旱能力，提质增产，预计可带动村集体经济年增收5万元。村集体经济收益分配为：10%作为项目可持续发展资金，剩余的90%作为人口股、土地股、集体股、脱贫户优先股的利润分红，其中收益的5%优先分配于以土地入股的村民，2%作为脱贫户和监测户优先股，剩余按人头股进行分红。该项目利益联结机制为集体经济分红和带动务工就业，预计受益农户567户，其中脱贫户及监测户51户109人。</t>
  </si>
  <si>
    <t>2025年老高川镇磁尧村后血贝沟组小杂粮基地配套水利灌溉设施工程</t>
  </si>
  <si>
    <r>
      <rPr>
        <sz val="14"/>
        <rFont val="仿宋"/>
        <charset val="134"/>
      </rPr>
      <t>建设100口径水泵一台，扬程200米，500m</t>
    </r>
    <r>
      <rPr>
        <sz val="14"/>
        <rFont val="宋体"/>
        <charset val="134"/>
      </rPr>
      <t>³</t>
    </r>
    <r>
      <rPr>
        <sz val="14"/>
        <rFont val="仿宋"/>
        <charset val="134"/>
      </rPr>
      <t>高位水池一座，DN110PE管道4000米，检查井2座，</t>
    </r>
  </si>
  <si>
    <t>磁尧村</t>
  </si>
  <si>
    <t>该项目产权归村集体所有，项目建成后，能够有效解决160亩小杂粮种植基地土地缺水灌溉问题，降低灌溉用水成本，改善土壤质量，促进生态环境良性发展，带动农户增收，提高粮食产量≥10%，该资产建成后为经营性资产，管护人为郝建雄，全村受益27户75人，助力乡村产业振兴。</t>
  </si>
  <si>
    <t>2025年新民镇陈庄村马圈圪崂自然村蓄水池建设项目</t>
  </si>
  <si>
    <r>
      <rPr>
        <sz val="14"/>
        <rFont val="仿宋"/>
        <charset val="134"/>
      </rPr>
      <t>马圈圪崂新建100m</t>
    </r>
    <r>
      <rPr>
        <sz val="14"/>
        <rFont val="宋体"/>
        <charset val="134"/>
      </rPr>
      <t>³</t>
    </r>
    <r>
      <rPr>
        <sz val="14"/>
        <rFont val="仿宋"/>
        <charset val="134"/>
      </rPr>
      <t>集雨蓄水池2个及集雨相关设施。相关设施包含13千瓦水泵一台，2寸塑料硬管100米，金属围栏100米，防漏膜900平米。</t>
    </r>
  </si>
  <si>
    <t>陈庄村</t>
  </si>
  <si>
    <t>该项目建成后，产权归陈庄村集体经济联合社所有，项目实施后，可储存雨水用于农田灌溉，有效提高农户发展农业种植的积极性，增加户内收入。预计受益农户34户94人，受益脱贫户（监测对象）0户0人。</t>
  </si>
  <si>
    <t>2025年府谷县哈镇店塔村集体经济合作社鱼尔湾组小杂粮种植基地配套项目</t>
  </si>
  <si>
    <t>在哈镇店塔村鱼尔湾组实施以下建设内容：
水井改建：新建内径15米、净深10米圆桶型封闭式钢筋混凝土结构水井1座，配套机井房1间、大功率智能抽水设备2台；
截潜流建设：采用浆砌石墙（3米×3米×9米）截潜流箱涵，顺水斜连接水井，覆盖沙砾石层2米，周边碎石回填600方；
截水墙：下游河道岩层以上建混凝土暗式截水墙（0.3米×2.5米×60米）；
挡墙：外沿新建浆砌石挡墙60米；
管道铺设：铺设上水管道2500米、浇灌农田主管道2500米，预留出水阀15个。</t>
  </si>
  <si>
    <t>该项目形成公益性资产，产权归店塔村集体所有，由村集体经济联合社负责管护。项目实施后，完善农田水利设施，灌溉良田300亩，预计带动农业产业年增收10万元以上，直接受益农户47户180人，其中脱贫户1户2人、监测户1户2人。通过土地流转和规模化种植，差异化分配村集体经济收益：10%用于公益事业，5%优先分配脱贫户和监测户，剩余85%按人口股分配，确保资产长效利用和联农带农效益。</t>
  </si>
  <si>
    <t>2025年府谷县哈镇哈镇村集体经济合作社糜子种植基地配套项目</t>
  </si>
  <si>
    <t>计划为哈镇村新农村现有100亩糜子种植基地配套建设截潜流井1座，井深12米，直径3米，机房1座；架设380V低压线路160米；截潜流槽长120米，深3米，内径2米，浆砌石结构，预计容水980方，并配套抽水设备1套，上下水3寸pe管900米，其中170米需要填埋，730米无需填埋。</t>
  </si>
  <si>
    <t>该项目建成后将形成公益性资产，产权归哈镇村集体所有，由村委会负责管护。项目实施后，预计提升糜子种植基地灌溉能力，保障2000亩农田稳定供水，受益农户617户1498人，其中脱贫户52户85人。通过改善农田水利条件，预计促进农业规模化种植，年增收约20万元，助力乡村振兴。</t>
  </si>
  <si>
    <t>2025年府谷县哈镇哈镇村集体经济合作社高粱种植基地配套项目</t>
  </si>
  <si>
    <t>在哈镇村新农村现有200亩高粱种植基地，新建2000立方米高位蓄水池1座，铺设上下给水PE90管道2000米。</t>
  </si>
  <si>
    <t>该项目建成后将形成公益性资产，产权归哈镇村集体所有，由村委会负责管护。项目实施后，预计提升高粱种植基地灌溉能力，保障2000亩农田稳定供水，受益农户617户1498人，其中脱贫户52户85人。通过改善农田水利条件，预计促进农业规模化种植，年增收约20万元，助力乡村振兴。</t>
  </si>
  <si>
    <t>2025年府谷县哈镇哈镇村集体经济合作社惠家沟组小杂粮种植基地配套项目</t>
  </si>
  <si>
    <t>在哈镇村惠家沟组小杂粮种植基地现有夏季灌溉大口井区域实施修复工程，具体建设内容包括：拆除并重建鼓包墙体，总工程量需石材1000立方米；延长井体1米，采用M10水泥砂浆砌筑，井体总长70米，高8米，厚1米。全部工程按行业标准执行，确保井体结构稳固，保障灌溉用水安全。</t>
  </si>
  <si>
    <t>该项目为公益性基础设施项目，形成公益性资产，产权归哈镇村集体所有，由村委会负责管护。项目实施后，可恢复并提升大口井灌溉功能，保障617户1498人（其中脱贫户52户85人）的夏季农田灌溉需求，预计覆盖农田200亩，年减少因灌溉设施损坏导致的农业损失约10万元，助力农业稳产增收。</t>
  </si>
  <si>
    <t>2025年府谷县哈镇陈家圪堵行政村集体经济合作社特色黄芥种植基地配套项目</t>
  </si>
  <si>
    <t>为陈家圪堵村石尧沟组140亩黄芥种植基地配套深4米、宽40米、长60米的大口水源井1座，20m*5m*5m高位水池一座。大口井四周围砌2米高的石墙1个，配套2m*260m铁质围栏1个，5米*5米水井房及相关电路设备、250米扬程三项水泵1台，1000米镀锌上水管及2000米PE管。</t>
  </si>
  <si>
    <t>陈家圪堵村</t>
  </si>
  <si>
    <t>该项目建成后，将形成公益性资产，且资产产权归村集体所有，由村集体自主运营管护，预计实现黄芥亩产增收10斤，带动村集体增收5万元。村集体经济收益分配为：10%作为项目可持续发展资金，剩余的90%作为人口股、土地股、集体股、脱贫户优先股的利润分红，其中收益的5%优先分配于以土地入股的村民，2%作为脱贫户和监测户优先股，剩余按人头股进行分红。该项目利益联结机制为集体经济分红和带动务工就业，预计受益农户509户1258人，其中脱贫户及监测户34户70人。</t>
  </si>
  <si>
    <t>2025年武家庄镇郭家崖尧行政村红峁组玉米、高粱滴水灌溉项目</t>
  </si>
  <si>
    <t>新建大口井200方（水资源充足），机房，10KV线路700m、20KVA变压器1台、380V供电线路300m，配套上水设备，DN100镀锌钢管钢管400米、供水dn90*8.2PE管600m，供水dn90*5.4PE管2600m、dn75*4.5PE管2000m，阀门井10个，高位水池500方，等其他配套工程。</t>
  </si>
  <si>
    <t>郭家崖尧村</t>
  </si>
  <si>
    <t>满足已流转回村集体土地230亩种植玉米、高粱灌溉需求，预计增加村集体经济收入3万元，收益的30%用于提取公积公益金，30%用于壮大集体经济联合社，40%用于村内分红。</t>
  </si>
  <si>
    <t>2025年4月-2025年11月</t>
  </si>
  <si>
    <t>2025年府谷镇郝家寨村小杂粮种植基地灌溉项目</t>
  </si>
  <si>
    <t>建设潜流井，在郝家寨村羊道头开挖管沟30米，配套直径1米开孔圆形管道30米。</t>
  </si>
  <si>
    <t>建成后资产属于郝家寨村经济联合社，可以用来在河道集水，保障供水井设施水量充足，受益农户403户1039人，受益脱贫户12户22人，受益监测户1户4人。可以增加村集体经济收入1万元。</t>
  </si>
  <si>
    <t>2025年府谷镇郝家寨村经济联合社灌溉水渠维修项目</t>
  </si>
  <si>
    <t>维修郝家寨村沙片破损灌溉水渠260米（砌砖及水泥抹面维修），水道两侧挡土24砖挡墙80米平均高1.1米</t>
  </si>
  <si>
    <t>建成后资产属于郝家寨村经济联合社，受益农户403户1039人，受益脱贫户12户22人，受益监测户1户4人。可以增加村集体经济收入1万元。</t>
  </si>
  <si>
    <t>2025年府谷镇高梁村经济联合社产业融合示范园供水管道建设项目</t>
  </si>
  <si>
    <t>安装主管道1700米（110规格4寸PE管），支管路1450米（2寸PE管），检查井17个。</t>
  </si>
  <si>
    <t>建成后资产属于高梁村经济联合社，受益农户369户1023人，受益脱贫户15户24人，受益监测户1户2人，收益20%提取公积金，80%用于分红。</t>
  </si>
  <si>
    <t>2025年黄甫镇段寨行政村石山梁抗旱应急节水灌溉项目</t>
  </si>
  <si>
    <r>
      <rPr>
        <sz val="14"/>
        <rFont val="仿宋"/>
        <charset val="0"/>
      </rPr>
      <t>新建500m</t>
    </r>
    <r>
      <rPr>
        <sz val="14"/>
        <rFont val="宋体"/>
        <charset val="0"/>
      </rPr>
      <t>³</t>
    </r>
    <r>
      <rPr>
        <sz val="14"/>
        <rFont val="仿宋"/>
        <charset val="0"/>
      </rPr>
      <t>钢筋混凝土蓄水池1座、改造提升3000m</t>
    </r>
    <r>
      <rPr>
        <sz val="14"/>
        <rFont val="宋体"/>
        <charset val="0"/>
      </rPr>
      <t>³</t>
    </r>
    <r>
      <rPr>
        <sz val="14"/>
        <rFont val="仿宋"/>
        <charset val="0"/>
      </rPr>
      <t>低位蓄水池1座；新建4m*4m设备房1间、室外灌溉首部及基础2套；铺设输水管672m、田间配水管网干管2160m；砌筑闸阀井、排水井及泄水井共13座，出水桩32个；安装100KVA变压器1台，架设10KV线路10m，地埋铠装铝电缆180m。</t>
    </r>
  </si>
  <si>
    <t>该项目为产业配套设施项目，形成公益性资产，产权归村集体所有，由村集体负责人负责管护。项目的实施可有效解决段寨村石山梁地段200余亩高标准宽幅梯田的灌溉问题，提升灌溉效率、优化水资源配置、提高作物产量与质量，对黄河流域生态保护与陕北风沙区农业可持续发展提供示范。受益农户444户1088人，其中脱贫户8户12人，监测户4户9人（已脱贫监测户1户1人）。</t>
  </si>
  <si>
    <t>2025年黄甫镇段寨行政村灌区泵站提升改造项目</t>
  </si>
  <si>
    <t>对现有泵站的抽水设施进行更新升级，安装6寸清水离心泵3台及配套设施、安装6寸补水泵3台、安装配电箱6台、安装6寸无缝钢管输水管道350m;维修护坡50平方米、开挖引水渠20m。</t>
  </si>
  <si>
    <t>该项目为产业配套设施项目，形成公益性资产，产权归村集体所有，由村集体负责人负责管护。项目的实施可解决段寨村灌区近1600亩耕地的灌溉难题，促进粮食作物稳产增产，同时减少因干旱导致的减产风险，有效促进农民增收，户均增收约1500元。受益农户444户1088人，其中脱贫户8户12人，监测户4户9人（已脱贫监测户1户1人）。</t>
  </si>
  <si>
    <t>2025年3月至12月</t>
  </si>
  <si>
    <t>2025年新民镇新民村玉米基地配套项目</t>
  </si>
  <si>
    <t>计划为300亩平整土地配套蓄水池、抽水泵、地下管网、主管道、滴灌带、水肥一体设施及电力等设施，用于种植玉米300亩。</t>
  </si>
  <si>
    <t>新民村</t>
  </si>
  <si>
    <t>该项目用于发展壮大村集体经济，产权归新民村集体经济联合社所有。该项目可大力提升用水效率，精准施肥、增加作物产量，亩均预计增收302元。项目共受益农户473户1394人，其中脱贫户7户10人，监测户2户6人。</t>
  </si>
  <si>
    <t>2025年三道沟镇到户产业项目</t>
  </si>
  <si>
    <t>扶持三道沟镇21户脱贫户、监测户发展到户产业，共种植良种玉米207亩、良种糜子6亩、良种荞麦5亩、良种小杂粮36亩、良种马铃薯48亩、良种豆类15亩。共养殖肉羊45只，肉猪8头。</t>
  </si>
  <si>
    <t>新庙村
杨园则村
玉则墕村
三道沟村
黑石岩村</t>
  </si>
  <si>
    <t>该项目实施后可提高脱贫户、监测户对衔接政策的满意度，增加群众收入，带动特色种养殖产业发展。惠及脱贫户21户58人。</t>
  </si>
  <si>
    <t>2025年哈镇脱贫户（含监测户）到户产业项目</t>
  </si>
  <si>
    <t>为全镇范围内有意愿的120户脱贫户（含监测对象）进行到户产业奖补，计划养殖白皮猪21头，本地绒山羊1130只，驴2头。</t>
  </si>
  <si>
    <t>相关村</t>
  </si>
  <si>
    <t>对全镇范围内有劳动能力、有意愿的120户脱贫户（含监测对象）自主发展产业进行奖补，每户不超1万元，户均增收0.9万元，提高脱贫户（含监测对象）对衔接政策的满意度。到户类资产归脱贫户（监测对象）所有。</t>
  </si>
  <si>
    <t>2025年度古城镇到户产业奖补项目</t>
  </si>
  <si>
    <t>古城村曹翠发展羊子养殖、绒山羊10只；杜欢狮购买2000个拖把原材料，发展原拖把产业；邬占开购买绒山羊10只；郝二媚购买绒山羊10只。</t>
  </si>
  <si>
    <t>预计实现户增收1万元，拓宽群众增收渠道；巩固两不愁三保障水平，提升群众满意度。</t>
  </si>
  <si>
    <t>2025年武家庄镇脱贫户及监测对象到户产业奖补项目</t>
  </si>
  <si>
    <t>扶持全镇21户脱贫户（含监测对象）发展到户产业，共发放羊子200只，猪2头。</t>
  </si>
  <si>
    <t>扶贫脱贫户发展壮大产业，预计帮助21户脱贫户（含监测对象）每户增收1万元。</t>
  </si>
  <si>
    <t>2025年黄甫镇到户产业项目</t>
  </si>
  <si>
    <t>扶持脱贫户、监测户发展种植、养殖业。养殖白皮猪6头；养殖本地绒山羊86只；种植玉米24亩、高粱5亩、西瓜15亩；新建彩钢顶羊舍80㎡。</t>
  </si>
  <si>
    <t>为有劳动能力和发展意愿的脱贫户发展到户项目，扩大种植、养殖规模，受益脱贫户19户33人，带动每户脱贫户平均增收0.5万元。</t>
  </si>
  <si>
    <t>2025年大昌汗镇到户产业项目</t>
  </si>
  <si>
    <t>扶持脱贫户丁凤礼养猪6头，鸡30羽；监测户高飞养羊10只；监测户袁金花养猪4头，鸡30羽，种植10亩玉米，3亩马铃薯。</t>
  </si>
  <si>
    <t>大昌汗镇</t>
  </si>
  <si>
    <t>该项目实施后可提高脱贫户、监测户对衔接政策的满意度，增加户内收入，带动特色种养殖产业发展。惠及脱贫户3户6人。</t>
  </si>
  <si>
    <t>大昌汗镇人民政府</t>
  </si>
  <si>
    <t>2025年黄甫镇前园则村联合社肉牛养殖配套项目</t>
  </si>
  <si>
    <t>将原来的湖羊养殖场升级改造为肉牛养殖厂，扩大养殖规模，现养殖肉牛21头，计划购买西门特尔肉牛50头。</t>
  </si>
  <si>
    <t>产权归村集体经济联合社所有，该项目建成后，高位水池储水可解决养殖牛饮水问题。预计村集体每年可增收3万余元。收益的70%用于产业后续发展，30%用于集体经济合作社分红，增加群众收入，稳固脱贫成果。受益农户287户936人，其中脱贫户15户42人，包括监测户2户4人。</t>
  </si>
  <si>
    <t>2025年2月-2025年11月</t>
  </si>
  <si>
    <t>2025年黄甫镇到户产业项目（补充）</t>
  </si>
  <si>
    <t>监测户王倩养殖本地绒山羊10只。</t>
  </si>
  <si>
    <t>该项目为到户产业项目，带动监测户王倩扩大养殖规模，预计增加收入1万元。</t>
  </si>
  <si>
    <t>2025年黄甫镇前园则行政村林下经济建设项目</t>
  </si>
  <si>
    <t>新建400片2m*3m果园围栏，对现有300亩海红果树进行修剪等管护；新建6米宽x35米长x3米高饲养鸡棚1座、5米宽x30米长x3米高简易饲料存储加带加工暖棚（可与鸡棚相互交替使用）1座；购置加工设备，双丝粉料粉碎机一台、喂料搅拌机一台、饮水斗20个、喂料斗20个、存水罐3方2个、冬季取暖器2台及消毒设施；购买土鸡1500只。</t>
  </si>
  <si>
    <t>该项目为产业帮扶项目，产权归村集体所有，由村集体负责人负责管护。建设完成后可每年为前园则村经济合作社增收3万余元。收益的70%用于产业后续发展，30%用于集体经济合作社分红，增加群众收入，稳固脱贫成果。受益群众287户936人，其中脱贫户15户42人、监测户2户4人。</t>
  </si>
  <si>
    <t>2025年府谷镇郝家寨村经济联合社养殖场圈舍改造项目</t>
  </si>
  <si>
    <t>联合社养殖厂羊舍165米饲料槽及羊圈改造,275平米弓形草料棚一座（25长，11米宽，5米高），配套消毒池2个。</t>
  </si>
  <si>
    <t>建成后资产属于郝家寨村经济联合社，资产为经营性资产，管护人郝瑞强，受益农户403户1039人，受益脱贫户12户22人，受益监测户1户4人，可以带动村集体增加收入约2万元每年，可以向附近村民免费提供有机羊粪30余吨。</t>
  </si>
  <si>
    <t>2025年府谷镇脱贫户监测户产业发展项目</t>
  </si>
  <si>
    <t>种植良种玉米147亩，高粱23亩，糜子17亩，谷子18亩，小杂粮29亩，马铃薯25亩，豆类44亩，羊127只，猪39头，牛4头，鸡90羽。</t>
  </si>
  <si>
    <t>实施该项目可以增加脱贫户或监测户户均收入1万元，受益脱贫户及监测户45户101人。</t>
  </si>
  <si>
    <t>2025年黄甫镇西王寨行政村经济合作社鱼塘供电项目</t>
  </si>
  <si>
    <t>在西王寨村经济合作社鱼塘安装30千瓦变压器1台，架设电路300米，并且安装其他设备以及投放鱼苗。</t>
  </si>
  <si>
    <t>西王寨村</t>
  </si>
  <si>
    <t>产权归村集体所有，提高西王寨村经济合作社鱼塘整体供电系统运行能力。受益农户595户1460人，其中脱贫户14户20人。</t>
  </si>
  <si>
    <t>2025年黄甫镇刘家坪村经济联合社养鱼项目</t>
  </si>
  <si>
    <t>该项目占地面积20亩，购买2台30米扬长4寸水泵、增氧泵5个、4寸PE抽水管道860米、购买鱼苗4万尾；坝梁安装400米长钢围栏、对坝进行淤泥清理和消毒、管道开挖及回填；建钓鱼台两个、建设管理间及其他配套设施。</t>
  </si>
  <si>
    <t>该项目产权归刘家坪村集体所有，带动刘家坪村集体合作社年增收2万元，收益按人头股分红，一般农户按1股、脱贫户按2股参与分红。受益农户453户1120人，其中脱贫户15户34人。</t>
  </si>
  <si>
    <t>2025年黄甫镇前园则行政村窑洞营地建设项目</t>
  </si>
  <si>
    <t>维修改造破旧陕北窑洞6孔，打造集住宿、餐饮为一体的陕北特色民俗农家乐，对外墙面进行统一处理，增设其他配套设施。</t>
  </si>
  <si>
    <t>产权归村集体经济联合社所有，建成后预计每年联合社可增收6万元。在确保产业项目持续发展的前提下，收益的70%用于产业后续发展，30%用于集体经济合作社分红。增加群众收入，稳固脱贫成果，受益农户287户936人，其中脱贫户17户46人。</t>
  </si>
  <si>
    <t>2025年黄甫镇尧渠行政村观光农业建设项目</t>
  </si>
  <si>
    <t>在后尧渠沟新建70亩标准化花卉种植区，配套建设宽2英寸、长800米的上水主管道，安装2寸100米扬程提水泵站1座，配置自动化喷灌设备1套。</t>
  </si>
  <si>
    <t>尧渠村</t>
  </si>
  <si>
    <t>该项目为产业帮扶项目，产权归村集体所有，项目建成后由村集体和公司共同管理运营。计划采用“村集体经济联合社+公司”联营机制，村集体经济联合社提供土地资源，公司提供技术指导。通过打卡拍摄、引导商贩进驻，收益按照风险共担、合作共赢原则与公司平均分配，其中村集体所得收益部分将按照村集体经济收益分配方案分配给农户。受益群众372户927人，其中脱贫户23户48人，监测户1户2人。</t>
  </si>
  <si>
    <t>2025年新民镇新民村集体经济联合社保鲜冷库项目</t>
  </si>
  <si>
    <t>新建保鲜冷库，建设长6.5米*宽3.6米*高3.3米的混凝土框架气调库4间。购买冷冻机组12匹4个，高速制氮机2台，气调设备1套，5米*0.6米*1.8米货架8个（货架层高0.8米）。同时完善梅花鹿养殖场周边排水系统。</t>
  </si>
  <si>
    <t>该项目用于发展壮大村集体经济，产权归新民村集体经济联合社所有，项目为梅花鹿场配套项目。建成后共受益农户473户1394人，其中脱贫户7户10人，监测户2户6人。联合社预计年收入8万元左右，带动就业人数3人，收益30%用于提取公益公积金，70%用于分红。</t>
  </si>
  <si>
    <t>2025年府谷镇柳林碛村经济联合社气调冷库建设项目</t>
  </si>
  <si>
    <t>建设长10、宽6、高4米的水泥保温调库两间。冷冻机组12匹2个，气调设备1套。</t>
  </si>
  <si>
    <t>项目建成后所有权为柳林碛村经济联合社，受益农户354户962人，受益脱贫户12户18人，可以保障农产品的销量，降低坏果率。</t>
  </si>
  <si>
    <t>2025年黄甫镇前尧湾行政村薯类储存窖提升工程</t>
  </si>
  <si>
    <t>窖顶搭建保温板640平米，6米6*6方钢15根，6米3*4方钢130根。</t>
  </si>
  <si>
    <t>前尧湾村</t>
  </si>
  <si>
    <t>该项目产权归前尧湾村集体所有，提升后可有效提高保温效果，确保窖内储存菜薯安全过冬，有效提高集体经济收益。受益农户379户1019人，其中脱贫户17户30人。</t>
  </si>
  <si>
    <t>2025年新民镇新民村集体经济联合社梅花鹿附属产品加工项目</t>
  </si>
  <si>
    <t>新建6.5米*3.6米*3.3米混凝土框架结构厂房6间，6.5米*7.2米*3.3米混凝土框架结构厂房1间；大型电锅3个，大型切骨机1台，商用真空机2台，定量分装机1台，不锈钢操作台10个，凉肉不锈钢盆20个，配套刀具厨具等一套，煮鹿茸电桶3个，10㎡烘干机1台，切片机1台，磨粉机1台，30cm真空封口机1台，浸泡罐4个，1t/h物料泵1台，0.3㎡双联过滤器1台，300L成品罐2个，微孔过滤器1台，配套管道、污水收集罐等设施。</t>
  </si>
  <si>
    <t>该项目用于发展壮大村集体经济，产权归新民村集体经济联合社所有，项目为梅花鹿场配套项目。建成后共受益农户473户1394人，其中脱贫户7户10人，监测户2户6人。联合社预计年收入15万元左右，带动就业人数10人，联合社收益30%用于提取公益公积金，70%用于分红。</t>
  </si>
  <si>
    <t>2025年木瓜镇经济联合总社万亩有机糜谷基地配套地膜生产线建设项目</t>
  </si>
  <si>
    <t>为配套万亩有机糜谷基地地膜需求，利用原古城煤矿废弃厂区，建设两条可降解的地膜生产线，建设钢结构厂房500平米，高13米，配套1000平米成品库。</t>
  </si>
  <si>
    <t>该项目产权归联合总社所有，项目建成后，按照不低于6%的收益，预计年收益7.8万元；按照村集体经济收益分配方案，75%资金用于分红，10%资金用于村内公益性岗位开发补助，10%资金用于发展壮大再生产,5%资金用于风险基金。通过建设地膜生产线，增加玉米产量，从而提高经济效益，增加村民收入，预计有农户4479户12162人受益，其中脱贫户192户410人。</t>
  </si>
  <si>
    <t>2025年木瓜镇经济联合总社中药材加工贸易中心建设项目</t>
  </si>
  <si>
    <t>建设集中药材收购、加工、仓储物流为一体的中药材加工贸易中心。主要包括建设70平的大型清洗池一个，购置滚筒式洗药机1台；建设软化、切片、混干车间，购置蒸煮锅1台、小型半自动切药机1台、中型半自动包装机1台、烘干机1台、筛选机1台；配套原材料和成品配备货架、托盘等。</t>
  </si>
  <si>
    <t>木瓜村</t>
  </si>
  <si>
    <t>该项目产权归联合社所有，项目建成后，按照不低于6%的收益，预计年收益4.8万元；按照村集体经济收益分配方案，75%资金用于分红，10%资金用于村内公益性岗位开发补助，10%资金用于发展壮大再生产,5%资金用于风险基金。预计有农户4479户12162人受益，其中脱贫户192户410人。</t>
  </si>
  <si>
    <t>2025年府谷镇高梁村产业融合园蔬菜加工包装机采购项目</t>
  </si>
  <si>
    <t>采购蔬菜塑封包装机1台（嘉谦机械600型号），采购包装塑料膜1000KG。</t>
  </si>
  <si>
    <t>建成后资产属于高梁村经济联合社，受益农户369户1023人，受益脱贫户15户24人，受益监测户1户2人，增加村集体经济收益1.2万元，收益30%提取公积金，70%用于分红。</t>
  </si>
  <si>
    <t>2025年木瓜镇经济联合总社万亩有机糜谷基地配套黄米加工厂建设项目</t>
  </si>
  <si>
    <t>计划在尧城坡村委院外，拟建设1000平米黄米生产厂房，配套储粮烘干塔购置现代加工设备及包装设备，实现日产30吨标准化生产线。主要包括钢架生产厂房1000平米（含设备安装基础部分），安装设备主机部分：TQLZ100振动清理筛1台、TQSX100吸式去石机1台、6LT36C气动砻谷机1台、JL45立式砂辊碾米机3台、JLM160立式铁辊碾米机2台、RG5色选机3选2台、6NP70A小米抛光机1台、螺杆空压机（气罐、干燥机、过滤器）1台、VP-5TD2-600六面真空包装机（半自动、双工位）1台、DDS-50电脑定量包装机1台)；平台料仓部分：主机平台H钢15.6*4.5*1.6米1套、提升机检修平台1套、色选机料斗1个、电百有机子定量包装称料斗1个、2吨凉米仓1个、去石回收黄米加斗1个；主机配套部分：提升机高6米13台、永目磁变频螺杆空压机1套、11千瓦风机2台、7.5千瓦风机2台、关风机4台；风网管道部分：清理去石风网管道集尘器、袭谷机风网管道集尘器、粗（细）糠风网管道集尘器各一套、脉冲除尘2台；其余部分：购置TS-32905提升机4台，线性称1台，爬坡皮带线1套，装箱机及覆膜机各1台、提升机不锈钢流料管、电控柜等。</t>
  </si>
  <si>
    <t>该项目建成后，将形成经营性资产，产权归木瓜经济联合总社所有，由总社管护，项目建成后，预计使用年限不少于20年，由总社同县农投公司联合运营，投产后，按照不低于6%的收益，预计年收益21万元，同时要求本地员工占比达到50%；按照村集体经济收益分配方案，50%资金用于分红，10%资金用于村内公益性岗位开发补助，10%资金用于发展壮大再生产,5%资金用于风险基金。预计有农户4479户12162人受益，其中脱贫户192户410人。</t>
  </si>
  <si>
    <t>2025年武家庄镇贺家堡行政村杂粮加工厂配套变压器项目</t>
  </si>
  <si>
    <t>杂粮加工厂更换变压器：将原变压器更换为200KVA；安装4根电杆、280米线路及配电箱等。</t>
  </si>
  <si>
    <t>产权归村集体所有，进一步巩固集体产业，提高综合电压和供电可靠性，改善杂粮加工厂用电条件。</t>
  </si>
  <si>
    <t>2025年府谷县哈镇陈家圪堵村集体经济合作社黄油加工厂巩固提升项目</t>
  </si>
  <si>
    <t>为陈家圪堵村村集体经济合作社黄油加工厂新购置榨油机1台（130型）、200型电炒料机（25千瓦）、1.1KW生料提升机1台、容量300斤的陶瓷澄清罐15个，改造长6米、宽4米、高3米的成品黄油储藏室1间，新建长4.5米、宽3.5米，高3米的消毒室、便衣室、检验室各1间</t>
  </si>
  <si>
    <t>该项目为产业帮扶项目，形成经营性资产，产权归陈家圪堵村集体所有，由村集体自主运营管护。预计年加工产能提升30%，带动村集体增收5万元，通过集体经济分红（90%收益按人口股、土地股、脱贫户优先股分配）和带动务工就业，受益农户509户1258人，其中脱贫户34户70人。差异化分配中，收益的2%优先用于脱贫户和监测户，助力巩固脱贫攻坚成果。</t>
  </si>
  <si>
    <t>2025年新民镇陈庄村粮食加工厂项目</t>
  </si>
  <si>
    <t>计划在陈庄村建设占地10亩粮食加工厂房，并配套粮食加工设备及包装设备，实现年产小麦100吨，水稻120吨，荞麦50吨。其中新建长12m*宽6m*高4.5m粮食储存库3间，长16m*宽6m*高4.5m粮食加工车间2间，3m*6m*4.5m监控室1间、6m*10m*4.5m展销室1间、6m*8m*4.5m包装室1间。采购6FTDP-35型面粉加工机一套，6FT-50C型荞麦加工机器一套，18B型碾米机一套，土豆淀粉机一套，SF150立式包装机一台。200KW电力设施一套。</t>
  </si>
  <si>
    <t>该项目用于发展壮大村集体经济，建成后形成经营性资产，产权归陈庄村集体经济联合社所有，由联合社负责人进行管护。项目建成后，实行联合社与承包商联合经营方式运营，村集体联合社提供场地、设备，负责联系销售等，承包商负责提供技术支持，管理运营，人员培训，原材料采购等。项目正常开始运营后联合社预计年收入8万元左右，可带动就业人数4人。共受益农户556户1642人，其中脱贫户（监测对象）10户18人。联合社当年收益30%用于提取公益公积金，50%用于投资积累金，20%用于股东红利分配。</t>
  </si>
  <si>
    <t>2025年度古城镇经济联合总社海红果生物科技项目（一县一镇一产业项目）</t>
  </si>
  <si>
    <t>改扩建仓库、厂房共计约1200平方米,包括生产车间约400平方米、原料储存车间约200平方米，包装车间200平方米，配置半成品储存车间约100平方米、成品储存车间约200平方米、理化审评室约60平方米、消毒风淋室约40平方米等；配套控制系统、生产系统、标准化管理流程以及健字号生产许可申请等。主要设备包含：类茶类植物初加工生产线（楠丹-8888）、超声波振动筛（1200mm-1）、全自动智能化烘房体系（jy-001-20-2）全自动紧压茶机器和全自动便携茶压茶（DCL-2-900）、筛分混匀装置、挂耳袋泡茶生产线（SZ-19）、自动立式包装机（ESS-720）、真空冷冻干燥机（GYFD-10）、恒温恒湿箱（HT-HWF-800）、联机设备等。</t>
  </si>
  <si>
    <t>该项目建成后，将形成经营性资产，产权归古城镇经济联合总社所有，由古城镇经济联合总社理事长进行管理。提高海红果品牌效益；打造完善海红果产业链；收益归古城镇经济联合总社所有，预计古城镇经济联合总社每年增收14.4万元；项目运行后预计可提供临时就业岗位5个；受益群众4042户9970人（其中脱贫户及三类户110户156人）；当年收益30%用于提取公益公积金，50%用于投资积累金，20%用于股东红利分配。</t>
  </si>
  <si>
    <t>2025年4月-12月</t>
  </si>
  <si>
    <t>2025年田家寨镇经济联合总社香菇生产基地设备购置项目</t>
  </si>
  <si>
    <t>配备20装载机一台，用于菌棒原材料装卸等；用于菌棒消毒搬运等；福田祥菱M1冷藏车一台，用于香菇存储；2台烘干机，用于香菇烘干；4台菌棒负压泡水机等。</t>
  </si>
  <si>
    <t>该项目为产业配套项目，产权属于田家寨镇集体经济联合社，由镇联合社统一经营管理。可大大降低联合社生产运营成本，提高生产经营效率。带动脱贫户288户622人（含监测户），受益农户3842户10430人，预计可增加收入约1.53万元每年，吸纳村内剩余劳动力务工就业。</t>
  </si>
  <si>
    <t>2025年府谷镇郝家寨村经济联合社红枣加工厂扩建项目</t>
  </si>
  <si>
    <t>新建热风烤炉1座（宽3.6米、长8米、高3米）。</t>
  </si>
  <si>
    <t>建成后资产属于郝家寨村经济联合社，受益农户403户1039人，受益脱贫户12户22人，受益监测户1户4人。可以增加村集体经济收入2万元。</t>
  </si>
  <si>
    <t>2025年黄甫镇前尧湾村集体经济联合社烘干筛选设备建设项目</t>
  </si>
  <si>
    <t>购置5HYAN-20移动式烘干塔（日烘干20吨）一台、智能单比重单筛清选机Z310一套。</t>
  </si>
  <si>
    <t>该项目为产业帮扶项目，形成经营性资产，产权归村集体所有，由村集体负责人负责管护。建成后方便农户进行农业生产、有效缩短农作物筛选烘干时间，预计每年为村集体联合社增收4万元。收益按照“451”模式进行分配，村集体提取40%公积公益金用于弥补亏损、扩大再生产和公益事业等支出；50%用于全体社员按股分红；10%用于脱贫户“三类户”等困难群众奖励扶助。受益农户376户1011人，其中脱贫户15户28人。</t>
  </si>
  <si>
    <t>2025年木瓜镇经济联合总社糜谷全产业链配套物流仓储中心建设项目</t>
  </si>
  <si>
    <t>合作社置换木瓜原粮站用于建设木瓜镇农产品物流中心。维修原粮库10间、提升改造原粮房11间，硬化院落1800平米，清理残垣断壁，新修高2.2米，50砖挡墙50米。</t>
  </si>
  <si>
    <t>该项目建成后，将形成经营性资产，产权归木瓜经济联合总社所有，由总社管护运营，项目建成后，预计使用年限不少于20年，项目建成后，按照不低于6%的收益，预计年收益9.6万元；按照村集体经济收益分配方案，75%资金用于分红，10%资金用于村内公益性岗位开发补助，10%资金用于发展壮大再生产,5%资金用于风险基金。预计有农户4479户12162人受益，其中脱贫户192户410人。</t>
  </si>
  <si>
    <t>2025年大昌汗镇石籽焉村经济联合社农产品物流服务中心二期建设项目</t>
  </si>
  <si>
    <t>石籽焉村物流服务中心二期工程项目，包括：水泥硬化场地1.8万平方米；水井一眼（直径1.3米，深约60米）；50方高位水池一座；5坑位公共卫生间一座；配套排水、照明等附属设施。</t>
  </si>
  <si>
    <t>石籽焉村</t>
  </si>
  <si>
    <t>13户</t>
  </si>
  <si>
    <t>该项目产权归村集体所有，项目建成后，预计年收益达20万元；按照村集体经济收益分配方案，收益按照不低于6%提取。5%资金用于脱贫户、三类户带贫益贫资金，50%资金用于股民分红，10%资金用于村内公益性岗位开发补助，35%资金用于发展壮大再生产。预计有农户496户1467人受益，其中脱贫户10户12人，监测户3户5人。</t>
  </si>
  <si>
    <t>2025年度孤山镇经济联合总社农特产品物流服务项目</t>
  </si>
  <si>
    <t>开挖土方7373㎡，场地硬化面积6789㎡，新建围墙220m、墙高1.9m，新建农产品仓储用房11间，实施室外给排水工程（包含给水管道长度约为1100m、排水管道长度1680m；场地铺设钢筋混凝土排水沟180m），设施用电铺设电缆175m，配套其他设施。</t>
  </si>
  <si>
    <r>
      <rPr>
        <sz val="14"/>
        <rFont val="仿宋"/>
        <charset val="134"/>
      </rPr>
      <t>该项目建成后，产权归镇联合总社所有，由镇经济联合总社统一进行管理运营。项目运营后预计达每年受益18万元以上。能进一步促进工农商贸物流发展，切实增加群众收入，壮大集体经济，实现农业增效益、农民增收入、农村增活力。项目收益70%用于11个村红利分配，30%用于提取公益公积金发展全镇各项事业。带动激发全镇4403户12252人群众发展产业项目积极性</t>
    </r>
    <r>
      <rPr>
        <sz val="14"/>
        <rFont val="Times New Roman"/>
        <charset val="134"/>
      </rPr>
      <t>​</t>
    </r>
    <r>
      <rPr>
        <sz val="14"/>
        <rFont val="仿宋"/>
        <charset val="134"/>
      </rPr>
      <t>，其中带动166户335人脱贫群众产业增收，极大巩固提升脱贫成果。</t>
    </r>
  </si>
  <si>
    <t>2025年度孤山镇经济联合总社农业销售服务区建设项目</t>
  </si>
  <si>
    <r>
      <rPr>
        <sz val="14"/>
        <rFont val="仿宋"/>
        <charset val="134"/>
      </rPr>
      <t>产业园区场平需开挖土方12351m</t>
    </r>
    <r>
      <rPr>
        <sz val="14"/>
        <rFont val="宋体"/>
        <charset val="134"/>
      </rPr>
      <t>³</t>
    </r>
    <r>
      <rPr>
        <sz val="14"/>
        <rFont val="仿宋"/>
        <charset val="134"/>
      </rPr>
      <t>，场地混凝土需硬化面积8751㎡，新建厂房11间，实施室外给排水工程（包含给水管道长度约为1205m、排水管道长度约为1800m、场地铺设钢筋混凝土排水沟180m），设施用电铺设电缆185m，配套其他设施。</t>
    </r>
  </si>
  <si>
    <r>
      <rPr>
        <sz val="14"/>
        <rFont val="仿宋"/>
        <charset val="134"/>
      </rPr>
      <t>该项目建成后，产权归镇联合总社所有，由镇经济联合总社统一进行管理运营。项目运营后预计达每年受益20万元以上。能进一步整合农业产业资源，切实增加群众收入，壮大集体经济，实现农业增效益、农民增收入、农村增活力。项目收益70%用于11个村红利分配，30%用于提取公益公积金发展全镇各项事业。带动激发全镇4403户12252人群众发展产业项目积极性</t>
    </r>
    <r>
      <rPr>
        <sz val="14"/>
        <rFont val="Times New Roman"/>
        <charset val="134"/>
      </rPr>
      <t>​</t>
    </r>
    <r>
      <rPr>
        <sz val="14"/>
        <rFont val="仿宋"/>
        <charset val="134"/>
      </rPr>
      <t>，其中带动166户335人脱贫群众产业增收，极大巩固提升脱贫成果。</t>
    </r>
  </si>
  <si>
    <t>2025年府谷镇贺家畔村西山寨组农特产品物流园建设项目</t>
  </si>
  <si>
    <t>安装成品水泥房10间（每间25平米）及配套设施用于物流园的农产品储藏及物流园运营。水泥硬化物流园场地6000平米，厚15公分。</t>
  </si>
  <si>
    <t>建成后资产属于贺家畔村西山寨组，资产为经营性资产，管护人张建国，受益农户169户452人，受益脱贫户16户25人，项目建成后可以增加村集体经济收入6万元，可以带动3人在物流园务工。</t>
  </si>
  <si>
    <t>2025年度古城镇沙圪坨村集体经济联合社味之缘醋厂品牌提升项目</t>
  </si>
  <si>
    <t>购买化验设备数显酸度计（PHS-3C）1台、全场景精准称重专用仪器（A6-001）1台、SC认证及相关技术服务等。</t>
  </si>
  <si>
    <t>该项目产权归村集体所有，项目认证完成后食品可流入市场，增加市场竞争力。味之缘醋厂可以让村集体年增收8万元以上，受益农户612户1439人，其中脱贫户18户26人，监测户3户4人。村集体经济收益分配为：提取公积金10%；提取公益金10%；可持续发展金30%；股东红利分配50%；其中脱贫户（含监测对象）享受优先一股，剩余按人头股和土地股进行分配。</t>
  </si>
  <si>
    <t>2025年度古城镇经济联合总社海红果产业品牌打造项目</t>
  </si>
  <si>
    <t>古城镇经济联合总社对古城镇境内的海红果进行品牌打造；委托第三方企业和社会征集，结合中国海红果之乡地标、府果红等商标元素、纸质包装盒15000个。购买真空包装机1台，真空包装袋15000个，全面宣传展示府谷海红果品牌。</t>
  </si>
  <si>
    <t>规范衔接资金项目管理，提高资金使用效益。提高海红果品牌效益；收益归古城镇经济联合总社所有；受益群众4042户9970人（其中脱贫户及三类户110户156人）；当年收益30%用于提取公益公积金，50%用于投资积累金，20%用于股东红利分配。</t>
  </si>
  <si>
    <t>2025年黄甫镇村集体经济联合社农特产品包装项目</t>
  </si>
  <si>
    <t>对辖区各村集体经济联合社小杂粮、海红果、鱼、黄油等产品进行品牌打造，计划购买小杂粮盒、鱼增氧袋，黄油桶和盒、小塑料袋、米袋、荞麦布袋、蔬菜、西瓜、冻海红果盒、辣酱、鸡蛋包装盒、包装纸箱等联合社产品进行各类包装。购买增强型4封口机2台、购买增氧机3台、真空包装机2台。</t>
  </si>
  <si>
    <t>该项目为产业帮扶项目，形成经营性资产，产权归镇经济联合总社所有，由镇经济联合总社负责人负责管护。通过打造“金黄甫”品牌，提升各村联合社产品的销售额，提高村集体经济收益，带动农户增收。预计每年为村集体联合社增收8万元，收益分配方式为，各村集体经济联合社按照已制定收益分配方案执行。受益总人数8542户21161人，其中脱贫户329户658人。</t>
  </si>
  <si>
    <t>2025年2月-2025年12月</t>
  </si>
  <si>
    <t>2025年度古城镇经济联合总社葵花产业标准化品牌推广项目</t>
  </si>
  <si>
    <t>古城镇经济联合总社葵花产业标准化品牌推广，提高产品质量，打造特色葵花产业。建设一类标准包装10000个，配套内桶60000个；二类标准包装5000个，配套内桶30000个；内置铝箔袋、脱氧包各90000个，运输箱2000个。</t>
  </si>
  <si>
    <t>该项目实施后，不形成资产，实施过程中由古城镇经济联合总社理事长进行监督管理。预计合作社每年增收6%，持续五年。提高葵花品牌效益；收益归古城镇经济联合总社所有；受益群众4042户9970人（其中脱贫户及三类户110户156人）；当年收益30%用于提取公益公积金，50%用于投资积累金，20%用于股东红利分配。</t>
  </si>
  <si>
    <t>2025年府谷县哈镇大岔村集体经济合作社高粱种植基地配套项目</t>
  </si>
  <si>
    <t>为解决哈镇大岔村高家湾200亩高粱种植基地因两条排洪渠东西横截农田每年冲刷农田问题，现需在两岸修建固体挡墙，以防洪水发生侵害。两条排洪渠总长300米，其中两岸需砌砖渠长230米（砌砖墙长460米），砌石墙长30米（庙沟渠左岸的住宅房后）。全部工程采用M10水泥砂浆灌浆抹面，砌石墙平均高1.7米，其中渠底以下深0.4米，铺底宽0.9米，顶宽0.4米。</t>
  </si>
  <si>
    <t>形成公益性资产，产权归村集体所有。能够有效预防高家湾近200亩农田被水冲毁，极大的提高农作物产品产量并极大的保障高家湾27户67人的出行安全，其中脱贫户及监测户3户8人。</t>
  </si>
  <si>
    <t>2025年府谷镇杨家庄村农田排水渠建设项目</t>
  </si>
  <si>
    <t>杨家庄自然村农田河槽砖砌排水渠，宽40cm，长1120m，高40cm。</t>
  </si>
  <si>
    <t>杨家庄村</t>
  </si>
  <si>
    <t>资产归杨家庄自然村集体，受益农户233户586人，其中脱贫户10户14人。保障农田及农作物不被水毁，提升粮食产量。</t>
  </si>
  <si>
    <t>2025年府谷镇贵峁村维修沙焉大坝、各茬嘴大坝、柳树疙瘩大坝</t>
  </si>
  <si>
    <t>维修贵峁村沙焉大坝坝梁长60米，宽5米，深3米，修砂石路长500米宽3米；维修贵峁村各茬嘴大坝，坝梁长50米，宽5米，深4米，修砂石路长350米宽3米；维修西峁组柳树疙瘩大坝，坝梁长50米，宽3米，深3米，修砂石路长350米宽3米。</t>
  </si>
  <si>
    <t>贵峁村</t>
  </si>
  <si>
    <t>该项目产权归集体所有，项目建成后可以有保障坝地160亩粮食产量，方便农产品的运输，受益农户137户408人，受益脱贫户26户55人。</t>
  </si>
  <si>
    <t>2025年庙沟门镇石峡梁村小型农田水库修复及配套设备项目</t>
  </si>
  <si>
    <t>计划在西哈拉村修复原庙塔刘家沟老旧水库两座，面积1200平方米，总容量2万方，配套设备水泵2个，1.5寸管道2000米，可灌溉农田约450亩。</t>
  </si>
  <si>
    <t>石峡梁村</t>
  </si>
  <si>
    <t>该项目建成后产权归村集体所有，为农田提供稳定灌溉水源，提高农产品产量，增加农民经济收入，户均增收1000元左右。</t>
  </si>
  <si>
    <t>2025年府谷镇河塔村经济联合社养牛场附属设施建设项目</t>
  </si>
  <si>
    <t>牛舍活动场所扎砖硬化1900平米。</t>
  </si>
  <si>
    <t>建成后资产属于河塔村经济联合社，增加村集体经济收入5万元，受益农户318户815人，受益脱贫户11户23人。收益30%提取公积金，70%用于分红。</t>
  </si>
  <si>
    <t>2025年府谷镇柳林碛村产业区挡土石墙建设项目</t>
  </si>
  <si>
    <t>建石墙990立方（110m*1.8m*5m）。</t>
  </si>
  <si>
    <t>项目建成后所有权为黑山组，充分利大棚处荒废空间，便于产业路停车，受益农户136户386人，受益脱贫户3户7人。</t>
  </si>
  <si>
    <t>2025年府谷镇高梁村新建日光温室大棚产业配套项目</t>
  </si>
  <si>
    <t>建设立扎砖铺路长285米、宽3米，24挡土墙355米*1.5米，铁艺围栏345米*1.5米。</t>
  </si>
  <si>
    <t>建成后资产属于高梁村经济联合社，受益农户369户1023人，受益脱贫户15户24人，受益监测户1户2人，可以极大提高产业园区的农产品运输条件。</t>
  </si>
  <si>
    <t>2025年府谷镇高梁村经济联合社产业融合示范园蔬菜储藏窖建设项目</t>
  </si>
  <si>
    <t>建设20米长，3.5米宽，3.8米高双拱双背砖结构菜窖2个，配套保温等相关附属设施。</t>
  </si>
  <si>
    <t>2025年新民镇新民村集体经济联合社农机具配套项目</t>
  </si>
  <si>
    <t>新建高3.5米*长10米*宽5米单板彩钢棚农机库1座，购置万达机械SH260型打捆机1台。</t>
  </si>
  <si>
    <t>该项目用于发展壮大村集体经济，产权归新民村集体经济联合社所有。项目建成后，共受益农户473户1394人，其中脱贫户7户10人，监测户2户6人。预计联合社年收入5万元左右，带动就业人数3人。联合社收益30%用于提取公益公积金，70%用于分红。</t>
  </si>
  <si>
    <t>2025年度清水镇枣林峁村经济合作社购买农机具项目</t>
  </si>
  <si>
    <t>购买山东恒阳牌4QZ-1800打草机1台。</t>
  </si>
  <si>
    <t>枣林峁村</t>
  </si>
  <si>
    <t>产权归村集体所有，枣林峁村经济合作社购买农机具，每年增加收益0.72万元。受益人数367户940人，其中脱贫户（含监测户）23户42人。</t>
  </si>
  <si>
    <t>2025年3月-9月</t>
  </si>
  <si>
    <t>2025年田家寨镇经济联合总社农机具合作社项目</t>
  </si>
  <si>
    <t>硬化集镇附近长100m宽7.5米停机坪，新建高4.5m单板彩钢顶，小计22.7万元；购置3台久保田954农用拖拉机，66万元；沃德160马力履带式收割机20万元；华德秸秆方孔机14万；雷旺谷神玉米四行收割机38万；农哈哈四行玉米播种机3台，7.5万元；农哈哈撒肥机3万；小计148.5万元。以上合计171.2万元。</t>
  </si>
  <si>
    <t>该项目为产业帮扶项目，项目建成后产权属于田家寨镇经济联合总社，经营模式由分散式转化为规模化经营，由镇经济联合总社统一经营管理。预计增加收入11.1万元/年，在确保产业项目持续发展的前提下，其中70%用于产业扶持产业后续发展，30%用于集体经济联合社分红。带动全镇3842户10430人农户，其中脱贫户（监测户）294户640人，充分吸纳村内剩余贫困劳动力务工约20人，带动工资性收入30余万，巩固脱贫成果，进一步壮大集体经济。</t>
  </si>
  <si>
    <t>2025年黄甫镇刘家坪村经济联合社农机项目</t>
  </si>
  <si>
    <t>农机停车坪场地在原刘家坪学校硬化800平方米，购置雷沃M2004-5G、3米旋耕机1台、铧犁1台、雷沃M504-E1台、1.6米旋耕机1台、玉米播种机1台、起垄、覆膜、滴灌一体机1台、拖拉机悬挂撒肥车1辆、糜谷播种机1台。</t>
  </si>
  <si>
    <t>该项目产权归村集体联合社所有，带动村集体联合社年增收6万余元。收益用于股东分红，一般农户每人1股，脱贫户监测户人口每人2股。受益农户453户1121人，其中脱贫户15户34人。</t>
  </si>
  <si>
    <t>2025年黄甫镇大桃山村经济联合社农机项目</t>
  </si>
  <si>
    <t>在韩家湾自然村原村委会新建农机具大棚长12米，宽7米，高3.5米。购置泰山1804拖拉机一台、双轴灭茬旋耕机一台、液压翻转犁一台、玉米播种机一台、撒肥车一台。</t>
  </si>
  <si>
    <t>大桃山村</t>
  </si>
  <si>
    <t>该项目为产业帮扶项目，形成经营性资产，产权归村集体所有，由村集体负责人负责管护。提升全村农作物种植机械化程度，方便农民进行农业生产，预计带动村集体经济联合社年增收2万余元。其中村集体所得收益部分将按照村集体经济收益分配方案分配给农户。受益农户482户1227人，其中脱贫户18户27人，监测户1户2人。</t>
  </si>
  <si>
    <t>2025年黄甫镇前园则村经济联合社农机项目</t>
  </si>
  <si>
    <t>新建农机具大棚150平米及场地硬化，购买潍坊404单缸四驱拖拉机一台，渤川1.4米旋耕机一台，渤川四铧犁一台，沃农9XQ1070型打捆机一台，旭日两行播种机一台，顺利-4型脱粒机一台，创丰9F23-粉碎机一台，五征22马力三轮车一台，金宏三湘铡草机一台，一米割草机一台，三兴单行玉米收割机一台，园乐丰40公分锄地机2台，鲁宇948一20铲车一台。</t>
  </si>
  <si>
    <t>该项目为产业帮扶项目，形成经营性资产，产权归村集体所有，由村集体负责人负责管护。建成后可提升前园则村农业种植机械化程度，方便农民进行农业生产，预计带动村集体经济联合社年增收2万余元。收益的50%用于产业后续发展，50%用于集体经济合作社分红。受益农户287户936人，其中脱贫户15户42人、监测户2户4人。</t>
  </si>
  <si>
    <t>2025年度清水镇农机驿站建设项目</t>
  </si>
  <si>
    <t>本项目拟建成总面积约700㎡农机驿站及相关基础设施，用于存放各类农机具，合计投入资金15万元。
配套购买各类农机具，常州东风DF2004-5AI拖拉机（单价219800元）2台；雷沃GM100(GM5125）收割机（单价388000元）1台；山东鲁宇30型叉草机（装载机）（单价125800元）1台；山东大华300型重型开垦耙（单价29800元）2台；大博金田2BQP-4A滴管铺管气吸精量铺膜点播机（单价54000元）1台；河北稼音3WP-1000GX打药机（单价6500元）2台；山东大华1GQNG-280旋耕机（单价18500元）2台；2BMYCF-4玉米免耕施肥播种机（单价7500元）1台；农用多功能扬肥机（单价1500元）2台；北斗导航器（单价3000）3个；合计投入资金109.95万元。</t>
  </si>
  <si>
    <t>海则庙村</t>
  </si>
  <si>
    <t>项目建成后，产权归集体所有，由村集体运营管护。预计实现每年收益增加7.8万元。所得收益50%归海则庙村，50%根据清水镇其他各村村集体经济发展情况分配。带动就业人员5人左右（需聘请机具司机），带动周边维修店铺、加油站增收，降低农民种地成本，增加农户收入。受益群众7256户20227人，其中脱贫户（监测户）332户646人</t>
  </si>
  <si>
    <t>2025年度孤山镇沙坬村经济联合社农机购置项目</t>
  </si>
  <si>
    <t>实施机械化种植土地，联合社购买4QZ-2200A型自走式青贮饲料收获机1台、1GKN-280型旋耕机2台、2FGH-3.5固态肥撒粪机1台、ZL-948型叉草车1台、M2004-5G拖拉机1台、4LZ-8.0EZ履带收割机1台、2BYF-4指夹式玉米免耕播种机1台。</t>
  </si>
  <si>
    <t>农机购置后归村集体所有，发展现代化机械农业，解放劳动力，增加群众收入，带动全村434户1174人发展高效农业，其中脱贫户12户25人，监测户2户6人。收益30%用于村民红利，50%用于村集体经济后续产业发展，20%用于完善村内基础设施建设。</t>
  </si>
  <si>
    <t>2025年木瓜镇经济联合总社农机驿站项目</t>
  </si>
  <si>
    <t>购置30装载机（带抓草叉）1台、5立方牵引式撒肥车（带刹车）1台、70拖拉机1辆、140拖拉机1辆、LX904国四拖拉机1辆（配套旋耕机）、1180收割机2台、打草机1台、土豆播种机2台、糜谷播种机2台、4YZ—4H轮式自走式玉米掰棒收割机1台、4LZ-8.0EP自走全喂入式谷物联合收割机（包含杂粮割台，整套杂粮筛网）1套。</t>
  </si>
  <si>
    <t>常塔等村</t>
  </si>
  <si>
    <t>该项目建成后，将形成经营性资产，产权归木瓜经济联合总社所有，由集体自主运营管护，项目建成后，开展农机社会化服务，帮助本地及周边乡镇农户进行耕种收服务，另外也能将部分农机租赁给专业合作社、种粮大户等经营主体，预计年收益13.5万元，预计使用年限不少于15年；按照村集体经济收益分配方案，75%资金用于分红，10%资金用于村内公益性岗位开发补助，10%资金用于发展壮大再生产,5%资金用于风险基金。预计有农户4479户12162人受益，其中脱贫户192户410人。</t>
  </si>
  <si>
    <t>2025年府谷县哈镇经济联合总社农机驿站项目</t>
  </si>
  <si>
    <t>为哈镇经济联合总社新购买农机具，主要为：沃德-WD1204型拖拉机一台，开元刀神1GKN-230旋耕机一台,仁达牌4YZX-3M玉米收割机一台，河北锐视1LFK-230液压翻转梨一台，ZBYF-40型玉米施肥播种机1台，七行杂粮割台（4LZ-7CD)一台，沃德牌4LZ-6.2MEQ谷物联合收割机1台。并配套200平米的停机棚1座。</t>
  </si>
  <si>
    <t>该项目形成经营性资产，产权归哈镇经济联合总社集体所有，由集体自主运营管护。预计农机作业效率提高50%，年节约生产成本约5万元，设备使用年限10年，累计节约成本50万元。通过农机租赁和代耕服务，带动村集体年增收3万元，总收益期内增收30万元。收益分配方案：10%用于可持续发展资金，剩余90%按人口股、土地股、集体股、脱贫户优先股分配（5%优先分配土地入股村民，2%作为脱贫户及监测户优先股，剩余83%按人口分配）。利益联结机制包括集体经济分红和提供20个季节性务工岗位，受益农户617户1498人（脱贫户52户85人）。</t>
  </si>
  <si>
    <t>2025年小额信贷贴息项目</t>
  </si>
  <si>
    <t>落实小额信贷政策，为享受小额信贷的脱贫户（含监测对象）提供贴息。计划贴息550户。</t>
  </si>
  <si>
    <t>加强小额信贷政策宣传，计划为550户脱贫户（含监测对象）发展产业提供小额贷款贴息，确保发展产业的资金来源有保障。受益550户1200人，全部为脱贫户（监测对象）。</t>
  </si>
  <si>
    <t>2025年互助资金占用费补贴项目</t>
  </si>
  <si>
    <t>落实互助资金政策，计划为20户脱贫户（含监测对象）借用互助资金发展产业提供占用费补贴。</t>
  </si>
  <si>
    <t>加强小额信贷政策宣传，计划为20户脱贫户（含监测对象）发展产业提供互助资金占用费补贴，确保发展产业的资金来源有保障。受益20户50人，全部为脱贫户、监测户。</t>
  </si>
  <si>
    <t>2025年度跨县就业交通补助项目</t>
  </si>
  <si>
    <t>对跨县就业的脱贫劳动力（含监测帮扶对象）持有效务工证明，安排一次性交通补助500元/人/年。</t>
  </si>
  <si>
    <t>鼓励脱贫劳动力（含监测帮扶对象）外出务工增收，减少务工交通费用支出，预计受益200户200人，全部为脱贫户和监测户。</t>
  </si>
  <si>
    <t>2025年度脱贫村创业致富带头人创业培训项目</t>
  </si>
  <si>
    <t>计划对44名脱贫村创业致富带头人主要从中、长期产业发展入手，以种、养、加技能以及电商等方面进行培训。</t>
  </si>
  <si>
    <t>各相关镇</t>
  </si>
  <si>
    <t>硬路塔等12个脱贫村</t>
  </si>
  <si>
    <t>提升全县44名致富带头人产业发展技能、产业带动能力，带动脱贫人口发展产业增收。受益296户572人，全部为脱贫户。</t>
  </si>
  <si>
    <t>2025年新民镇打井塔村马营山四村通村道路硬化项目</t>
  </si>
  <si>
    <t>马营山四村通村道路水泥硬化1.8公里，宽3.5米，厚18公分，并配套排水沟、生命防护工程。</t>
  </si>
  <si>
    <t>打井塔村</t>
  </si>
  <si>
    <t>该项目产权归村集体所有，修建道路硬化工程可有效改善农户出行问题，加快农村经济发展，同时还可以改善村容村貌，受益农户43户128人，其中脱贫户1户2人。</t>
  </si>
  <si>
    <t>2025年新民镇新尧村韩庄则自然村通村道路硬化项目</t>
  </si>
  <si>
    <t>新尧村至韩庄则村通村道路水泥硬化1公里，宽3.5米，厚18公分，并配套排水沟、生命防护工程。</t>
  </si>
  <si>
    <t>新尧村</t>
  </si>
  <si>
    <t>该项目产权归村集体所有，道路硬化工程可有效改善农户出行问题，加快农村经济发展，同时还可以改善村容村貌，受益农户42户127人，其中脱贫户0户0人。</t>
  </si>
  <si>
    <t>2025年新民镇陈庄村刘家印子村至陈庄村道路硬化项目</t>
  </si>
  <si>
    <t>刘家印子自然村至陈庄自然村道路水泥硬化2.195公里，宽3.5米，厚18公分，并配套排水沟、生命防护工程。。</t>
  </si>
  <si>
    <t>该项目产权归村集体所有，道路硬化工程可有效改善农户出行问题，加快农村经济发展，同时还可以改善村容村貌。受益农户90户268人，其中脱贫户3户4人。</t>
  </si>
  <si>
    <t>2025年清水镇孙崖尧村前墕组村内道路硬化项目</t>
  </si>
  <si>
    <t>前墕自然村村内道路砖铺硬化，长970米、宽3米、厚12厘米，配套420米长排水边沟。</t>
  </si>
  <si>
    <t>孙崖尧村</t>
  </si>
  <si>
    <t>产权归集体所有，改善村民生活生产出行，提升村民幸福感，受益群众27户77人，其中脱贫户（监测户）1户1人</t>
  </si>
  <si>
    <t>2025年木瓜镇台问沟村后仡佬组通孤山镇则家寨村水泥路</t>
  </si>
  <si>
    <t>新修木瓜镇台问沟村后仡佬组通孤山镇则家寨村水泥路1公里，厚18公分，宽3.5米，配套排水400米，安装生命防护栏450米。</t>
  </si>
  <si>
    <t>台问沟村</t>
  </si>
  <si>
    <t>该项目产权归集体所有，能方便群众生产生活，解决道路通行困难问题，受益农户35户75人，受益脱贫户1户1人</t>
  </si>
  <si>
    <t>2025年度古城镇沙圪坨村周伙盘组水泥路段至沙湾子路段联网道路建设项目</t>
  </si>
  <si>
    <t>新建沙圪坨村周伙盘组水泥路段至前坪地界沙湾子路段，长1公里，宽3.5米水泥路，生命防护工程、排水渠及拦水带等附属设施。</t>
  </si>
  <si>
    <t>项目建成后归村集体所有。改善612户（其中脱贫户含监测对象21户）出行条件，提升群众满意度。</t>
  </si>
  <si>
    <t>2025年度古城镇罗家沟村联网路硬化工程</t>
  </si>
  <si>
    <t>建设从罗家沟村李家沟组至哈镇戏楼沟村徐家沟组联网路硬化工程，长1公里，宽3.5米，18公分厚的水泥路，生命防护工程600米，附带排水沟等附属设施。</t>
  </si>
  <si>
    <t>罗家沟村</t>
  </si>
  <si>
    <t>1.项目建成后归罗家沟村集体所有；2.项目完成后改善56户123人出行条件其中脱贫户和监测户6户6人，间接的减少农户生产生活成本，同时改善罗家沟村李家沟组和哈镇戏楼沟村徐家沟组村民生产生活条件，提高群众满意度。</t>
  </si>
  <si>
    <t>2025年度老高川镇老高川村赵峁梁道路硬化项目</t>
  </si>
  <si>
    <t>建设赵峁梁组道路长约1.8公里，宽3.5米，厚18cm混凝土硬化通村公路，提高群众出行便利性。</t>
  </si>
  <si>
    <t>该项目产权归村集体所有，项目建成后，能够保障村内群众生活安全及出行条件，全村受益47户165人，其中脱贫户1户1人，不断提高其认可度、满意度、幸福感。</t>
  </si>
  <si>
    <t>2025年度老高川镇老高川村大树塔组道路硬化项目</t>
  </si>
  <si>
    <t>建设大树塔组道路长约1公里，路面宽3.5米，厚18cm混凝土硬化通村公路，提高群众出行便利性。</t>
  </si>
  <si>
    <t>该项目产权归村集体所有，项目建成后，能够保障村内群众生活安全及出行条件，全村受益26户80人，其中脱贫户0户0人，不断提高其认可度、满意度、幸福感。</t>
  </si>
  <si>
    <t>2025年老高川镇红草沟村府店路至前渠村通村路硬化工程</t>
  </si>
  <si>
    <t>新建红草沟村府店路至前渠村通村长约0.6公里，路基宽4.5米，路面宽3.5米，厚18厘米混凝土硬化通村公路，提高群众出行便利性。</t>
  </si>
  <si>
    <t>红草沟村</t>
  </si>
  <si>
    <t>该项目产权归村集体所有，项目建成后，能够保障村内群众出行条件，全村受益15户35人，不断提高其认可度、满意度、幸福感。</t>
  </si>
  <si>
    <t>2025年田家寨镇胡家沟村上阳庄组巷道硬化工程</t>
  </si>
  <si>
    <t>水泥硬化上阳庄组村内巷道，路基宽4米，路面宽3米，厚15公分，总长度1千米，新修7字排水600米。</t>
  </si>
  <si>
    <t>该项目属于基础设施项目，形成公益性资产，项目建成后产权属于胡家沟村，由胡家沟村负责资产管护。带动脱贫户4户11人（含监测户），受益农户40户110人，方便群众出行，改善人居环境，缩短村民出行时间，为农业生产提供便利，增加群众幸福感。</t>
  </si>
  <si>
    <t>2025年6月-8月</t>
  </si>
  <si>
    <t>2025年田家寨镇李岔村王家沟组道路硬化工程</t>
  </si>
  <si>
    <t>水泥硬化李岔村至王家沟村通组公路1.7公里，路基宽4.5米，路面宽3.5米，厚18厘米，配套7字型排水及生命防护栏等。</t>
  </si>
  <si>
    <t>该项目为基础设施项目，形成公益性资产，项目建成后产权属于李岔村，由李岔村负责资产管护。对王家沟组村民出行且对周边高标准农田进出提供了方便，预计可缩短出行时间15分钟。带动脱贫户7户17人（含监测户），受益农户34户99人。</t>
  </si>
  <si>
    <t>2025年7月-10月</t>
  </si>
  <si>
    <t>2025年田家寨镇李岔村巷道硬化工程</t>
  </si>
  <si>
    <t>水泥硬化巷道共计600米，路基宽3.5米，路面宽3米，厚15厘米，配套排水等。其中李岔组巷道硬化500米，苏庄则巷道硬化100米。</t>
  </si>
  <si>
    <t>该项目为基础设施项目，形成公益性资产，项目建成后产权属于李岔村，由李岔村负责人资产管护。项目建成后，可改善村内人居环境，带动脱贫户38户71人（含监测户），受益农户354户939人，方便村民出行，提高群众幸福感。</t>
  </si>
  <si>
    <t>2025年5月-7月</t>
  </si>
  <si>
    <t>2025年田家寨镇南门村刘兴庄组道路硬化项目</t>
  </si>
  <si>
    <t>水泥道路硬化长2.5千米，路基宽4.5米，路面宽3.5米，厚18厘米，配套7字型排水及生命防护栏等。</t>
  </si>
  <si>
    <t>南门村</t>
  </si>
  <si>
    <t>该项目为基础设施项目，形成公益性资产，产权归南门村，由南门村负责人管护。有效改善来刘兴庄村民26户71人出行条件，其中脱贫户2户5人，减少群众出行时间。</t>
  </si>
  <si>
    <t>2025年田家寨镇王沙峁村柏家焉组道路硬化项目</t>
  </si>
  <si>
    <t>水泥硬化道路1千米，路基宽4.5米，路面宽3.5米，厚18厘米，配套7字型排水及生命防护栏等</t>
  </si>
  <si>
    <t>该项目为基础设施项目，形成公益性资产，道路建成后产权归王沙峁村，由王沙峁村负责管护；可方便56户149人（其中脱贫户2户7人）出行，改善村民居住环境。</t>
  </si>
  <si>
    <t>2025年武家庄镇川头行政村前后川头村内道路建设项目</t>
  </si>
  <si>
    <t>前后川头村内道路，水泥硬化长2347米，宽3.5米，配套排水沟。</t>
  </si>
  <si>
    <t>保障125户村民（其中脱贫户3户）出行安全，为村民生产生活进一步提升提供道路便利，巩固拓展脱贫成果。</t>
  </si>
  <si>
    <t>2025年武家庄镇川头行政村杨家峁组村内道路建设项目</t>
  </si>
  <si>
    <t>杨家峁村村内道路，水泥硬化长1397米，宽3.5米，配套排水沟。</t>
  </si>
  <si>
    <t>保障47户村民出行道路安全，为村民生产生活进一步提升提供便利，提高村民生活水平，巩固拓展脱贫成果。</t>
  </si>
  <si>
    <t>2025年黄甫镇坪伦墩行政村石榴峁自然巷道硬化项目</t>
  </si>
  <si>
    <t>水泥硬化石榴峁自然村巷道长1公里，宽2.5米，厚0.15米，配套排水沟。</t>
  </si>
  <si>
    <t>产权归村集体所有，有效改善群众出行条件，完善村内基础设施，方便群众生产、生活。受益农户134户210人，其中脱贫户5户5人。</t>
  </si>
  <si>
    <t>2025年黄甫镇坪伦墩行政村坪一、坪三自然村巷道硬化项目</t>
  </si>
  <si>
    <t>水泥硬化坪伦墩自然村巷道长2公里，宽2.5米，厚0.15米，配套排水沟。</t>
  </si>
  <si>
    <t>产权归村集体所有，有效改善群众出行条件，完善村内基础设施，方便群众生产、生活。受益农户347户542人，其中脱贫户6户8人。</t>
  </si>
  <si>
    <t>2025年黄甫镇前园则行政村前园子自然村巷道硬化项目</t>
  </si>
  <si>
    <t>水泥硬化前园则自然村巷道长0.4公里，宽2.5米，厚0.15米，配套排水沟。</t>
  </si>
  <si>
    <t>产权归村集体所有，有效改善群众出行条件，完善村内基础设施，方便群众生产、生活。受益农户135户480人，脱贫户2户8人。</t>
  </si>
  <si>
    <t>2025年府谷镇贵峁村村组道路改造项目</t>
  </si>
  <si>
    <t>立扎砖硬化：贵峁上组150米，贵峁下组554米，宽2.5米。</t>
  </si>
  <si>
    <t>该项目产权归贵峁村，项目建成后改善村民生产生活出行，受益农户515户1506人，受益脱贫户32户66人。</t>
  </si>
  <si>
    <t>2025年府谷镇刘家沟村村内道路建设项目</t>
  </si>
  <si>
    <t>立扎砖硬化刘家沟一组道路1500米、均宽2.5米。</t>
  </si>
  <si>
    <t>刘家沟村</t>
  </si>
  <si>
    <t>建成后资产归刘家沟村，受益农户342户845人，16户25人，易返贫致贫户1户1人，可以改善村民出行条件。</t>
  </si>
  <si>
    <t>2025年府谷镇杨家庄村杨家庄组道路硬化项目</t>
  </si>
  <si>
    <t>杨家庄自然村立扎砖硬化道路长510m、宽2.5米。</t>
  </si>
  <si>
    <t>资产归杨家庄自然村集体，受益农户14户50人。可以保障村民的出行安全。</t>
  </si>
  <si>
    <t>2025年府谷镇柳林碛村柳林碛组村内道路项目</t>
  </si>
  <si>
    <t>柳林碛村旧村立扎砖硬化村内道路1430米，2.5米宽，厚0.12米，石挡墙1500方。</t>
  </si>
  <si>
    <t>建成后资产归柳林碛自然村，受益农户220户562人，受益脱贫户9户11人，可以保障村民的出行安全</t>
  </si>
  <si>
    <t>2025年府谷镇村碛塄石堡组道路建设项目</t>
  </si>
  <si>
    <t>石堡村内道路立扎砖硬化道路长2.175千米，宽2.5米，厚0.12米。</t>
  </si>
  <si>
    <t>碛塄村</t>
  </si>
  <si>
    <t>受益户166户487人，带动脱贫户2户2人，资产归碛塄行政村，改善村民出行条件。</t>
  </si>
  <si>
    <t>2025年府谷镇桑园梁村桑园梁组道路硬化建设项目</t>
  </si>
  <si>
    <t>硬化村内道路2500米，宽3.5米，厚15公分配套排水边沟。</t>
  </si>
  <si>
    <t>桑园梁村</t>
  </si>
  <si>
    <t>保障村民出行安全，提升村内人居环境，受益农户126户344人，受益脱贫户6户12人。</t>
  </si>
  <si>
    <t>2025年府谷镇王家畔村红焉组村内道路建设项目</t>
  </si>
  <si>
    <t>红焉村广场至路墕公共道路立扎砖硬化（长650米，宽6米），村内道路立扎砖硬化（长500米，宽3.5米）。</t>
  </si>
  <si>
    <t>建成后资产属于王家畔村红焉组，受益脱贫户50户120人，可以改善村民出行条件。</t>
  </si>
  <si>
    <t>2025年府谷镇柳林碛村护栏项目</t>
  </si>
  <si>
    <t>柳林碛村村内安装道路生命防护护栏800m。</t>
  </si>
  <si>
    <t>建成后资产归柳林碛自然村，受益农户220户562人，受益脱贫户9户11人，可以保障村民的出行安全。</t>
  </si>
  <si>
    <t>2025年府谷镇沙沟村芦庄组村内道路建设项目</t>
  </si>
  <si>
    <t>水泥硬化主村内道路170米，宽3.5米，厚18公分。</t>
  </si>
  <si>
    <t>沙沟村</t>
  </si>
  <si>
    <t>建成后资产属于沙沟芦庄组，受益农户45户140人，受益脱贫户6户14人，可以改善村内人居环境，保障村民出行安全。</t>
  </si>
  <si>
    <t>2025年府谷镇杨家庄村主干道右侧挡土墙项目</t>
  </si>
  <si>
    <t>杨家庄自然村村道路两侧砖砌挡墙，宽37cm，长1200m，高1.2m。</t>
  </si>
  <si>
    <t>资产归杨家庄自然村集体，受益农户233户586人，其中脱贫户10户14人，可以提升村内人居环境。</t>
  </si>
  <si>
    <t>2025年大昌汗镇刘三石岩村沙候梁通组道路</t>
  </si>
  <si>
    <t>水泥硬化沙候梁至席麻沟通组道路2公里，宽3.5米，厚18公分，配套排水沟及生命防护栏。</t>
  </si>
  <si>
    <t>刘三石岩村</t>
  </si>
  <si>
    <t>项目建成后归村集体所有，解决周边村民出行及农产品外运问题，受益87户243人，其中脱贫户3户3人。</t>
  </si>
  <si>
    <t>2025年大昌汗镇刘三石岩行政村通组道路</t>
  </si>
  <si>
    <t>水泥硬化旧羊大路至上母胡焉村通组道路600米，宽3.5米，厚14公分，配套排水沟设施。</t>
  </si>
  <si>
    <t>项目建成后归村集体所有，解决周边村民出行问题及农产品外运问题，受益34户86人。</t>
  </si>
  <si>
    <t>2025年度庙沟门镇西尧沟行政村杀虎沟自然村通村水泥路项目</t>
  </si>
  <si>
    <t>计划在西尧沟行政村杀虎沟自然村建设宽3.5米、长0.9公里、厚18厘米通村水泥路，配套排水及防护栏。</t>
  </si>
  <si>
    <t>西尧沟村</t>
  </si>
  <si>
    <t>该项目建成后产权归杀虎沟村民小组所有，方便杀虎沟自然村村内36户111人出行，改善村内基础设施，提升人居环境</t>
  </si>
  <si>
    <t>2025年度黄甫镇大桃山行政村韩家湾组村内道路硬化项目</t>
  </si>
  <si>
    <t>大桃山行政村韩家湾组水泥硬化村内道路950米，路面宽2.5米，厚0.15米。</t>
  </si>
  <si>
    <t>该项目为基础设施项目，形成公益性资产，产权归村集体所有，由村集体负责人负责管护。有效改善群众出行条件，完善村内基础设施，方便群众生产、生活，受益农户96户262人，其中脱贫户1户1人。</t>
  </si>
  <si>
    <t>2025年度黄甫镇大桃山行政村小宽坪组村内道路硬化项目</t>
  </si>
  <si>
    <t>大桃山行政村小宽坪组水泥硬化村内道路980米，路面宽2.5米，厚0.15米。</t>
  </si>
  <si>
    <t>该项目为基础设施项目，形成公益性资产，产权归村集体所有，由村集体负责人负责管护。有效改善群众出行条件，完善村内基础设施，方便群众生产、生活，受益农户66户166人，其中脱贫户3户3人。</t>
  </si>
  <si>
    <t>2025年黄甫镇大桃山行政村柏家咀自然村、小桃山自然村村内道路硬化项目</t>
  </si>
  <si>
    <t>水泥硬化大桃山行政村柏家咀自然村、小桃山自然村村内道路600米，路面宽2米，厚15cm。</t>
  </si>
  <si>
    <t>该项目为基础设施项目，形成公益性资产，产权归村集体所有，由村集体负责人负责管护。有效改善群众出行条件，完善村内基础设施，方便群众生产、生活，受益农户52户128人，其中脱贫户3户8人。</t>
  </si>
  <si>
    <t>2025年黄甫镇刘家坪行政村后尧湾自然村村内道路硬化项目</t>
  </si>
  <si>
    <t>水泥硬化后尧湾自然村村内道路长640米，宽2.5米，厚0.15米。</t>
  </si>
  <si>
    <t>该项目为基础设施项目，形成公益性资产，产权归村集体所有，由村集体负责人负责管护。有效改善群众出行条件，方便群众生产、生活，完善村内基础设施，提高群众生活质量。受益农户44户113人，其中脱贫户4户11人。</t>
  </si>
  <si>
    <t>2025年黄甫镇刘家坪行政村苏圪台自然村村内道路硬化项目</t>
  </si>
  <si>
    <t>水泥硬化苏圪台自然村村内道路长1500米，宽2.5米，厚0.15米。</t>
  </si>
  <si>
    <t>该项目为基础设施项目，形成公益性资产，产权归村集体所有，由村集体负责人负责管护。有效改善群众出行条件，方便群众生产、生活，完善村内基础设施，提高群众生活质量。受益农户94户234人，其中脱贫户5户11人（监测户1户4人）。</t>
  </si>
  <si>
    <t>2025年黄甫镇刘家坪行政村刘家坪自然村村内道路硬化项目</t>
  </si>
  <si>
    <t>水泥硬化刘家坪自然村村内道路长840米，宽2.5米，厚0.15米。</t>
  </si>
  <si>
    <t>该项目为基础设施项目，形成公益性资产，产权归村集体所有，由村集体负责人负责管护。有效改善群众出行条件，方便群众生产、生活，完善村内基础设施，提高群众生活质量。受益农户96户230人，其中脱贫户1户2人。</t>
  </si>
  <si>
    <t>2025年黄甫镇刘家坪行政村赵家渠自然村村内道路硬化项目</t>
  </si>
  <si>
    <t>水泥硬化赵家渠自然村村内道路长1000米，宽2.5米，厚0.15米。</t>
  </si>
  <si>
    <t>该项目为基础设施项目，形成公益性资产，产权归村集体所有，由村集体负责人负责管护。有效改善群众出行条件，方便群众生产、生活，完善村内基础设施，提高群众生活质量。受益农户41户100人，其中脱贫户1户2人。</t>
  </si>
  <si>
    <t>2025年黄甫镇刘家坪行政村双墩自然村村内道路硬化项目</t>
  </si>
  <si>
    <t>水泥硬化双墩自然村村内道路长3000米，宽2.5米，厚0.15米。</t>
  </si>
  <si>
    <t>该项目为基础设施项目，形成公益性资产，产权归村集体所有，由村集体负责人负责管护。有效改善群众出行条件，方便群众生产、生活，完善村内基础设施，提高群众生活质量。受益农户96户238人，其中脱贫户3户4人。</t>
  </si>
  <si>
    <t>2025年黄甫镇刘家坪行政村蔺家坪自然村村内道路硬化项目</t>
  </si>
  <si>
    <t>水泥硬化蔺家坪自然村村内道路长1200米，宽2.5米，厚0.15米。</t>
  </si>
  <si>
    <t>该项目为基础设施项目，形成公益性资产，产权归村集体所有，由村集体负责人负责管护。有效改善群众出行条件，方便群众生产、生活，完善村内基础设施，提高群众生活质量，受益农户82户206人。</t>
  </si>
  <si>
    <t>2025年黄甫镇前园则行政村蔺庄自然村村内道路硬化项目</t>
  </si>
  <si>
    <t>水泥硬化蔺庄自然村水泥村内道路长1.3公里，路面宽2.5米，厚15厘米，配套排水沟。</t>
  </si>
  <si>
    <t>该项目为基础设施项目，形成公益性资产，产权归村集体所有，由村集体负责人负责管护。有效改善群众出行条件，完善村内基础设施，方便群众生产、生活。受益农户287户936人，其中脱贫户15户42人、监测户2户4人受益。</t>
  </si>
  <si>
    <t>2025年黄甫镇山神堂行政村大宽坪自然村村内道路硬化项目</t>
  </si>
  <si>
    <t>水泥硬化山神堂行政村大宽坪自然村村内道路，长1.7公里，宽3米，厚15厘米，配套排水沟。</t>
  </si>
  <si>
    <t>山神堂村</t>
  </si>
  <si>
    <t>该项目为基础设施项目，形成公益性资产，产权归村集体所有，由村集体负责人负责管护。有效改善群众出行条件，完善村内基础设施，方便群众生产、生活，提升群众的满意度。受益农户45户95人。</t>
  </si>
  <si>
    <t>2025年黄甫镇尧峁行政村村内道路硬化项目</t>
  </si>
  <si>
    <t>水泥硬化尧峁村一、二、六自然村村内道路长1.5公里，宽2.5米，厚15厘米，配套排水沟。</t>
  </si>
  <si>
    <t>尧峁村</t>
  </si>
  <si>
    <t>该项目为基础设施项目，形成公益性资产，产权归村集体所有，由村集体负责人负责管护。有效改善农户出行，完善村内基础设施，方便群众生产、生活，受益农户204户378人，其中脱贫户7户15人，监测户2户4人（已脱贫监测户1户2人）。</t>
  </si>
  <si>
    <t>2025年度庙沟门镇圪针塔行政村翟家梁自然村村内道路硬化项目</t>
  </si>
  <si>
    <t>计划在圪针塔行政村翟家梁自然村建设村内道路硬化：长3.2公里、宽3.5米、厚12厘米砖砌路。</t>
  </si>
  <si>
    <t>圪针塔村</t>
  </si>
  <si>
    <t>该项目建成后产权归村集体所有，方便翟家梁村内37户105人进行农业生产活动，改善村内基础设施，提升人居环境。</t>
  </si>
  <si>
    <t>2025年度庙沟门镇石峡梁村上石峡梁自然村村内道路硬化项目</t>
  </si>
  <si>
    <t>计划在石峡梁行政村上石峡梁自然村建设村内道路硬化：宽3.5米、长650米、红砖侧铺。</t>
  </si>
  <si>
    <t>该项目建成后产权归村集体所有，方便上石峡梁自然村村内40户96人出行，改善村内基础设施，提升人居环境</t>
  </si>
  <si>
    <t>2025年度庙沟门镇周圪崂村岳家峁自然村村内道路硬化项目</t>
  </si>
  <si>
    <t>计划在周圪崂行政村岳家峁自然村建设宽3.5米、长750米、厚18厘米水泥路，配套排水等设施。</t>
  </si>
  <si>
    <t>周圪崂村</t>
  </si>
  <si>
    <t>该项目建成后产权归村集体所有，方便岳家峁自然村村内28户96人出行，改善村内基础设施，提升人居环境</t>
  </si>
  <si>
    <t>2025年度庙沟门镇赵五家湾行政村水洞沟自然村通村水泥路项目</t>
  </si>
  <si>
    <t>计划在赵五家湾行政村水洞沟自然村建设宽3.5米、长1.5公里、厚18厘米水泥路，配套排水1.5公里、防护栏1.5公里</t>
  </si>
  <si>
    <t>赵五家湾村</t>
  </si>
  <si>
    <t>该项目建成后产权归村集体所有，方便水洞沟自然村村内18户70人出行，改善村内基础设施，提升人居环境</t>
  </si>
  <si>
    <t>2025年度庙沟门镇圪针塔行政村沙尔渠自然村自然村村内道路硬化项目</t>
  </si>
  <si>
    <t>计划在圪针塔行政村沙尔渠自然村建设村内道路硬化：长3040米、宽3.5米、厚12厘米砖砌路。</t>
  </si>
  <si>
    <t>该项目建成后产权归村集体所有，方便沙尔渠内35户112人进行农业生产活动，改善村内基础设施，提升人居环境。</t>
  </si>
  <si>
    <t>2025年度庙沟门镇西尧沟行政村古城焉自然村村内道路硬化项目</t>
  </si>
  <si>
    <t>计划在西尧沟行政村古城焉自然村建设;总长600米，宽3.5米，厚18厘米水泥路，配套排水600米、防护栏600米</t>
  </si>
  <si>
    <t>该项目建成后产权归村集体所有，方便古城焉自然村村内12户16人进行农业生产活动，改善村内基础设施，提升人居环境</t>
  </si>
  <si>
    <t>2025年度庙沟门镇安山村村内道路硬化</t>
  </si>
  <si>
    <t>计划在安山行政村鸡沟自然村和西焉自然村村内建设道路，长1.5公里、宽3.5m、厚18厘米水泥路，配套排水1.5公里。</t>
  </si>
  <si>
    <t>安山村</t>
  </si>
  <si>
    <t>该项目建成后产权归村集体所有，方便安山村共137户495人进行农业生产活动，改善村内基础设施，提升人居环境。</t>
  </si>
  <si>
    <t>2025.3-12</t>
  </si>
  <si>
    <t>2025年度庙沟门镇杨家梁村杨家梁自然村村内建设道路</t>
  </si>
  <si>
    <t>计划在杨家梁村杨家梁自然村村内建设道路，长650米、宽3.5米、厚18厘米水泥路，配套排水</t>
  </si>
  <si>
    <t>杨家梁村</t>
  </si>
  <si>
    <t>该项目建成后产权归村集体所有，方便杨家梁村共31户92人进行农业生产活动，改善村内基础设施，提升人居环境。</t>
  </si>
  <si>
    <t>2025年度庙沟门镇贺家梁行政村乱菜沟自然村组内道路硬化</t>
  </si>
  <si>
    <t>计划在贺家梁行政村乱菜沟自然村组内道路硬化：长2公里（张家圪塄到大路沟，正沟岔到麻地沟梁）、宽3.5米、厚18厘米水泥路，配套排水2公里、防护栏2公里</t>
  </si>
  <si>
    <t>贺家梁村</t>
  </si>
  <si>
    <t>该项目建成后产权归村集体所有，方便乱菜沟内28户81人进行农业生产活动，改善村内基础设施，提升人居环境。</t>
  </si>
  <si>
    <t>2025年古城镇沙圪坨村丁家梁组联网路硬化工程</t>
  </si>
  <si>
    <t>建设沙圪坨村丁家梁组联网路硬化工程，长2.5公里，宽3.5米，18公分厚的水泥路，附带排水。河滩部分建设过水路面150米，采用浆砌片石做坡面防护，防止水流冲刷，设置边坡排水系统，在临河两侧设置防护栏、警示桩。</t>
  </si>
  <si>
    <t>该项目建成后，将形成公益性资产，项目建成后归沙圪坨村集体所有，管护人为自然村村长；项目完成后改善63户139人出行条件，其中脱贫户和监测户4户4人，间接的减少农户生产生活成本，同时改善沙圪坨村丁家梁组村民生产生活条件，提高群众满意度。</t>
  </si>
  <si>
    <t>2025年大昌汗镇石岩塔村芦家梁组道路建设项目</t>
  </si>
  <si>
    <t>水泥硬化芦家梁组约700米道路，宽3.5米，厚0.15米，配套排水边沟。</t>
  </si>
  <si>
    <t>石岩塔村</t>
  </si>
  <si>
    <t>项目建成后归村集体所有；方便群众生产生活，解决道路通行问题，受益农户61户183人，其中脱贫户2户2人。</t>
  </si>
  <si>
    <t>2025年武家庄镇郭家庄则行政村武家峁组道路硬化工程</t>
  </si>
  <si>
    <t>武家峁自然村水泥硬化道路300米，宽3.5米，厚0.18米，配套排水设施。</t>
  </si>
  <si>
    <t>该项目建成后产权归村集体所有，方便武家峁自然村内82户216人出行，改善村内基础设施，提升人居环境。</t>
  </si>
  <si>
    <t>2025年府谷镇柳洼村良种玉米种植基地生产道路建设项目</t>
  </si>
  <si>
    <t>新修柳洼村自然村至柳洼大坝生产道路2公里（立扎砖），3米宽，含附属配套设施。</t>
  </si>
  <si>
    <t>柳洼村</t>
  </si>
  <si>
    <t>项目建成后所有权为柳洼自然村组，保障200亩良种玉米种植基地运输畅通，受益农户146户394人，可以极大改善村内人居环境。</t>
  </si>
  <si>
    <t>2025年府谷镇贺家畔村贺家畔组道路硬化项目</t>
  </si>
  <si>
    <t>立扎砖硬化村内道路6千米，宽3.5米，厚度12厘米。</t>
  </si>
  <si>
    <t>建成后资产属于贺家畔村，受益农户231户661人，受益脱贫户10户20人，方便村内群众出行，同时改善村内人居环境。</t>
  </si>
  <si>
    <t>2025年黄甫镇尧渠行政村杨家沙墕村村内道路硬化项目</t>
  </si>
  <si>
    <t>水泥硬化杨家沙墕村村内道路长443米，路面宽3米，厚0.15米。</t>
  </si>
  <si>
    <t>该项目为基础设施项目，形成公益性资产，产权归村集体所有，由村集体负责人负责管护。有效改善群众出行条件，完善村内基础设施，方便群众生产、生活，受益47户118人，其中脱贫户1户1人。</t>
  </si>
  <si>
    <t>2025年黄甫镇西王寨行政村西王寨至李寨通村路建设项目</t>
  </si>
  <si>
    <t>水泥硬化西王寨村至李寨村通村道路长2.5公里，路面宽3.5米，厚15CM。</t>
  </si>
  <si>
    <t>该项目为基础设施项目，形成公益性资产，产权归村集体所有，由村集体负责人负责管护。有效改善群众出行条件，完善村内基础设施，方便群众生产、生活，提升群众的满意度。受益农户183户467人，其中脱贫户4户6人。</t>
  </si>
  <si>
    <t>2025年清水镇小字村小字沟组村内道路硬化项目</t>
  </si>
  <si>
    <t>小字村小字沟组村内道路红砖立铺硬化（长2600米、宽3米），配套建设1000米排水边沟。</t>
  </si>
  <si>
    <t>小字村</t>
  </si>
  <si>
    <t>产权归集体所有，改善村小字村村民生活生产出行，提升村民幸福感，受益群众88户224人，其中脱贫户（监测户）2户2人</t>
  </si>
  <si>
    <t>2025年府谷镇沙沟村红石峁组王咀通村道路建设项目</t>
  </si>
  <si>
    <t>水泥硬化孤武路至沙沟村红石峁组王咀道路410米、宽3.5米，厚度18厘米，配套排水等附属设施。</t>
  </si>
  <si>
    <t>项目建成后资产属于沙沟村红石峁组，受益农户9户26人，受益脱贫户1户1人，可以保障农户的安全出行。</t>
  </si>
  <si>
    <t>2025年度府谷镇王家畔村府谷县千村光伏电站产业道路建设项目</t>
  </si>
  <si>
    <t>新建水泥硬化道路：王家畔村王家畔组变电站到道路府谷新区990米，宽3.5米，厚18公分。</t>
  </si>
  <si>
    <t>建成后资产属于王家畔村，受益农户301户819人，受益脱贫户22户39人，受益监测户1户6人，可以改善村民出行条件。</t>
  </si>
  <si>
    <t>2025年清水镇孙崖尧村糜子种植基地配套项目</t>
  </si>
  <si>
    <t>为便于100亩糜子种植基地的生产运输，砖铺硬化生产道路400米、宽3米、厚12厘米，从孙崖尧村淡寨刘憨清门口至高粱沟青阳焉村青阳壕。</t>
  </si>
  <si>
    <t>产权归孙崖尧行政村，方便100亩耕地的种植，受益户数114户330人，其中受益脱贫户7户14人。</t>
  </si>
  <si>
    <t>2025年3月-10月</t>
  </si>
  <si>
    <t>2025年清水镇王家焉村玉米种植基地配套项目</t>
  </si>
  <si>
    <t>在王家墕自然村、尖堡则自然村、张崖尧自然村，共计1397亩玉米种植基地之间建设宽3米，长6千米的砖扎产业路。</t>
  </si>
  <si>
    <t>王家焉村</t>
  </si>
  <si>
    <t>产权归村集体，项目建成后方便田间通行，有利于机具到场，实现机械化作业，便于1397亩农田种植，提升农作物产量，从而提高农民收入，农户有400户1119人（其中脱贫户14户27人，监测户2户5人）可受益。</t>
  </si>
  <si>
    <t>2025年木瓜镇常塔村集体经济联合社高产玉米基地配套产业路建设项目</t>
  </si>
  <si>
    <t>砖铺常塔川600余亩高产玉米基地土路1.8公里产业路，宽3米，厚0.12米，配套混凝土排水渠700米。</t>
  </si>
  <si>
    <t>该项目产权归集体所有。产业路建设直接服务600余亩高产玉米，可改善村集体生产条件，利于群众生产生活及集体发展，间接带动村集体收入。受益农户133户410人，其中脱贫户6户19人。</t>
  </si>
  <si>
    <t>2025年木瓜镇大柳树焉集体经济联合社万亩有机糜谷基地南畔段产业路项目</t>
  </si>
  <si>
    <t>砖铺南畔组北梁坡至柏树塔万亩有机糜谷基地500亩特色糜谷土路1.5公里产业路，宽3米，厚0.12米，配套混凝土排水渠400米。</t>
  </si>
  <si>
    <t>该项目产权归集体所有。通过铺设产业路，方便群众出行。预计受益农户381户1030人，受益脱贫户15户30人。</t>
  </si>
  <si>
    <t>2025年木瓜镇木瓜村集体经济联合社蔬菜大棚产业路项目</t>
  </si>
  <si>
    <t>新修通往蔬菜大棚产业路1000米，宽3米，厚0.12米砖铺路，配套混凝土排水渠150米。</t>
  </si>
  <si>
    <t>该项目产权归集体所有，可改善大棚生产道路，便于大棚生产经营，从而提高经济效益，增加村民收入，预计有农户429户1366人受益，其中脱贫户28户63人。</t>
  </si>
  <si>
    <t>2025年木瓜镇木瓜村集体经济联合社万亩有机糜谷基地北门梁至韩家畔段配套产业路项目</t>
  </si>
  <si>
    <t>砖铺北门梁至韩家畔万亩有机糜谷基地300亩特色糜谷土路1.3公里产业路，宽3米，厚0.12米，配套混凝土排水渠150米。</t>
  </si>
  <si>
    <t>该项目产权归集体所有。产业路建设直接服务300余亩特色糜谷，可改善村集体生产条件，利于群众生产生活及集体发展，间接带动村集体收入。受益农户178户478人，常住户44户87人，其中脱贫户6户9人。</t>
  </si>
  <si>
    <t>2025年木瓜镇木瓜村集体经济联合社万亩有机糜谷基地石家洼至则家坪段配套产业路项目</t>
  </si>
  <si>
    <t>砖铺石家洼至则家坪段万亩有机糜谷基地500亩特色糜谷土路2.5公里产业路，宽3米，厚0.12米，配套混凝土排水渠400米。</t>
  </si>
  <si>
    <t>该项目产权归集体所有。产业路建设直接服务500余亩特色糜谷，可改善村集体生产条件，利于群众生产生活及集体发展，间接带动村集体收入。受益农户28户74人，其中脱贫户2户5人。</t>
  </si>
  <si>
    <t>2025年木瓜镇前梁村集体经济联合社大棚产业路建设项目</t>
  </si>
  <si>
    <t>新修通往阳坡村大棚产业路700米，宽3.5米，厚0.12米砖铺路。配套混凝土排水600米。</t>
  </si>
  <si>
    <t>该项目产权归集体联合社所有，可改善大棚生产运输条件，利于群众生产生活及集体产业发展，间接带动村集体收入，受益农户572户1689人，其中脱贫户36户74人。</t>
  </si>
  <si>
    <t>2025年木瓜镇阳坬村集体经济联合社万亩有机糜谷基地阳坬村段产业路建设项目</t>
  </si>
  <si>
    <t>新修阳坬村至万亩有机糜谷基地600亩特色糜谷1.8公里砖铺路，宽3米，厚0.12米，配套混凝土排水渠1400米。</t>
  </si>
  <si>
    <t>该项目产权归集体所有，可改善至万亩糜谷道路，便于生产经营，从而提高经济效益，增加村民收入，预计有农户90户273人受益，其中脱贫户6户12人。</t>
  </si>
  <si>
    <t>2025年木瓜镇阳坬村集体经济联合社万亩有机糜谷基地炭尧沟段产业路建设项目</t>
  </si>
  <si>
    <t>新修炭尧沟至万亩有机糜谷基地800亩特色糜谷0.5公里砖铺路，宽3米，厚0.12米砖铺路，配套混凝土排水渠500米。</t>
  </si>
  <si>
    <t>该项目产权归集体所有，可改善至万亩糜谷道路，便于生产经营，从而提高经济效益，增加村民收入，预计有农户57户172人受益，其中脱贫户1户2人。</t>
  </si>
  <si>
    <t>2025年木瓜镇常塔村集体经济联合社万亩有机糜谷基地常塔段至罗叫墕段产业路建设项目</t>
  </si>
  <si>
    <t>砖铺常塔至罗叫墕段万亩有机糜谷基地1000亩特色糜谷土路2.2公里产业路，宽3米，厚0.12米，配套混凝土排水渠900米。</t>
  </si>
  <si>
    <t>该项目产权归集体所有。产业路建设直接服务1000余亩特色糜谷，可改善村集体生产条件，利于群众生产生活及集体发展，间接带动村集体收入。受益农户91户264人，其中脱贫户4户14人。</t>
  </si>
  <si>
    <t>2025年木瓜镇王家峁村集体经济联合社万亩有机糜谷基地孙家沟至东另家沟段产业路建设项目</t>
  </si>
  <si>
    <t>铺设王家峁段孙家沟至东另家沟万亩有机糜谷基地1000亩特色糜谷1.5公里产业路，宽3米，厚0.12米，配套混凝土排水渠600米。</t>
  </si>
  <si>
    <t>该项目产权归集体所有。该项目建成后，可解决孙家沟组、东另家沟组种地出行难问题，受益农户89户196人，受益脱贫户4户10人。</t>
  </si>
  <si>
    <t>2025年木瓜镇阳坬村集体经济联合社日光大棚产业路项目</t>
  </si>
  <si>
    <t>新修通往阳坬村5座日光大棚产业路260米、宽3米，厚0.12米砖铺路，配套混凝土排水200米。</t>
  </si>
  <si>
    <t>2025年木瓜镇阳坬村集体经济联合社蔬菜大棚产业路项目</t>
  </si>
  <si>
    <t>新修通往10座双模拱棚产业路200米，宽3米，厚0.12米砖铺路，配套混凝土排水渠150米。</t>
  </si>
  <si>
    <t>2025年木瓜镇台问沟村集体经济联合社万亩有机糜谷基地黄金疙瘩段产业路项目</t>
  </si>
  <si>
    <t>新修台问沟黄金疙瘩至柏塔湾万亩有机糜谷基地500亩特色糜谷砖铺产业路1.8公里，宽3米，厚0.12米，配套混凝土排水渠700米。</t>
  </si>
  <si>
    <t>该项目产权归集体所有。产业路建设直接服务500余亩特色糜谷，可改善村集体生产条件，利于群众生产生活及集体发展，间接带动村集体收入。受益农户51户146人，其中脱贫户2户7人。</t>
  </si>
  <si>
    <t>2025年木瓜镇台问沟村集体经济联合社万亩有机糜谷基地刘家畔段产业路项目</t>
  </si>
  <si>
    <t>新修台问沟刘家畔赵梁至下陀螺万亩有机糜谷基地特色糜谷400亩砖铺产业路800米，宽3米，厚0.12米，配套混凝土排水渠200米。</t>
  </si>
  <si>
    <t>该项目产权归集体所有。产业路建设直接服务400余亩特色糜谷，可改善村集体生产条件，利于群众生产生活及集体发展，间接带动村集体收入。受益农户37户89人。</t>
  </si>
  <si>
    <t>2025年木瓜镇木瓜村集体经济联合社万亩有机糜谷基地水草湾至靳家梁段产业路项目</t>
  </si>
  <si>
    <t>新修木瓜村万亩有机糜谷基地水草湾至靳家梁段特色糜谷1000亩砖铺产业路2.2公里，宽3米，厚0.12米，配套混凝土排水渠600米。</t>
  </si>
  <si>
    <t>该项目产权归集体所有。产业路建设直接服务1000余亩特色糜谷，可改善村集体生产条件，利于群众生产生活及集体发展，间接带动村集体收入。受益农户58户152人。</t>
  </si>
  <si>
    <t>2025年度古城镇五道河村经济联合社小杂粮基地产业路</t>
  </si>
  <si>
    <t>新建四道河至二道河生产道路2公里、宽3米，红砖立铺，配套混凝土排水渠500米；服务于种植500亩玉米、100亩高粱、400亩苜蓿。</t>
  </si>
  <si>
    <t>项目建成后归集体所有；项目实施后，能有效改善1000亩农田（平地500亩、坝地100亩、坡地400亩）的生产条件，发展特色种植产业，进一步增加群众收入；带动3个村组166户367人受益（其中脱贫户和监测户6户7人）。</t>
  </si>
  <si>
    <t>2025年田家寨镇东沟村高粱种植基地生产道路建设项目</t>
  </si>
  <si>
    <t>新建砖砌农业生产道路总计6.2公里，路基宽4米，路面3米，厚12厘米，配套排水设施等。其中瓦尧条贾家沟1.4公里、老虎沟1公里；西山1公里；前后东沟绵棚梁至下沙岇1.8公里、对正弯至或家梁1公里。为2800亩高粱种植基地改善运输条件，降低运输成本。</t>
  </si>
  <si>
    <t>该项目为基础设施项目，形成公益性资产，项目建成后产权属于东沟村，由东沟村负责资产管护。能方便群众农业生产出行，预计可缩短生产运输时间25分钟，提高生产生活质量，同时能为农业机械化作业打下坚实基础，进一步提高农业生产效率。增加农民收入，带动脱贫户16户35人（含监测户），受益农户370户1041人。</t>
  </si>
  <si>
    <t>2025年6月-9月</t>
  </si>
  <si>
    <t>2025年田家寨镇胡家沟村杨湾则组小杂粮基地生产道路建设项目</t>
  </si>
  <si>
    <t>路基整形，砖砌生产道路3.2公里，宽3米，厚12厘米；配套7字型排水等；为600亩小杂粮基地改善生产运输条件，降低产粮成本。</t>
  </si>
  <si>
    <t>该项目为产业配套设施项目，形成公益性资产，项目建成后产权属于胡家沟村由胡家沟村负责管护，建成后可大力推广现代农业机械耕种收割技术，改善道路条件，降低运输成本，减少运输时间约15分钟，提高农业生产种植效率.带动脱贫户2户8人（含监测户），受益农户42户114人。</t>
  </si>
  <si>
    <t>2025年7月-9月</t>
  </si>
  <si>
    <t>2025年田家寨镇南门村糜子基地生产道路建设项目</t>
  </si>
  <si>
    <t>新建生产道路总计9.5千米，路基宽4米，路面宽3米，厚12厘米，配套排水设施等。其中高家峁组砖砌生产道路0.5千米、南门组砖砌生产道路2千米、陈西洼组砖砌生产道路3千米、苏家洼组砖砌生产道路4千米。为2000亩糜子基地改善运输条件，降低生产运输成本。</t>
  </si>
  <si>
    <t>该项目为基础设施项目，形成公益性资产，项目建成后产权属于南门村，由南门村负责人负责管护。建成后可大力推广现代农业机械耕种收割技术，降低运输成本，减少运输时间约10分钟，提高农业生产种植效率。带动脱贫户14户25人（含监测户），受益农户408户1066人。</t>
  </si>
  <si>
    <t>2025年田家寨镇水口村高粱基地生产道路建设项目</t>
  </si>
  <si>
    <t>新修砖砌生产道路长6.5千米，路基宽4米，路面宽3米，厚12厘米，配套排水设施。包括：水口组-老庄沟连接线2.5千米；郭家焉组-榆树梁连接线1千米；郭家焉组-走马梁连接线1千米；寨峁组2千米。为2800亩高粱基地改善运输条件，降低生产运输成本。</t>
  </si>
  <si>
    <t>水口村</t>
  </si>
  <si>
    <t>该项目为基础设施项目，形成公益性资产，项目建成后产权属于水口村，由水口村负责人管护。建成后可大力推广现代农业机械耕种收割技术，降低运输成本，减少运输时间，提高农业生产种植效率。带动脱贫户5户6人（含监测户），受益农户282户828人。</t>
  </si>
  <si>
    <t>2025年田家寨镇张圪崂村高粱基地生产道路建设项目</t>
  </si>
  <si>
    <t>新修砖砌生产道路3.4千米，路基宽4米，路面宽3米，厚12厘米，配套排水设施。其中：刘沙洼组砖砌生产道路2.1千米、韩家畔组砖砌生产道路0.3千米、张圪崂组砖砌生产道路0.6千米、尧渠组砖砌生产道路0.4千米。为2000亩高粱基地改善道路运输条件，降低生产运输成本。</t>
  </si>
  <si>
    <t>该项目为基础设施项目，形成公益性资产项目建成后产权属于张圪崂村，由张圪崂村负责资产管护。能方便群众农业生产出行，提高生产生活质量，同时能为农业机械化作业打下坚实基础，进一步提高农业生产效率。带动脱贫户20户49人（含监测户），受益农户335户931人，增加农民收入，可有效缩短生产运输时间约20分钟。</t>
  </si>
  <si>
    <t>2025年田家寨镇兴旺庄村高粱基地生产道路建设项目</t>
  </si>
  <si>
    <t>新修砖砌生产道路长4.2千米，路基宽4米，路面宽3米，厚12厘米，配套排水设施。包括：祁家畔组1.6千米、碑好湾组0.5千米、前、后兴庄组2千米、田家寨组0.1千米。为3000亩高粱基地改善生产运输条件，降低生产运输成本。</t>
  </si>
  <si>
    <t>该项目为基础设施项目，形成公益性资产，项目建成后产权归兴旺庄村，由兴旺庄村负责资产管护运营；建成后可缩短生产运输时间约20分钟。带动脱贫户16户32人（含监测户），受益农户227户643人。</t>
  </si>
  <si>
    <t>2025年武家庄镇高庄则行政村小杂粮基地产业道路项目</t>
  </si>
  <si>
    <t>1000余亩种植玉米、高粱基地产业道路，铺设红砖立砸2.5公里路面，宽3米，平整路基。</t>
  </si>
  <si>
    <t>满足村集体土地1000余亩种植玉米、高粱生产运输需求，增加村集体纯收入5万余元，壮大村集体经济。</t>
  </si>
  <si>
    <t>2025年武家庄镇武家庄行政村小杂粮种植基地产业路项目</t>
  </si>
  <si>
    <t>1108亩小杂粮（高粱、谷子）种植基地项目内硬化产业路（砖砸路）1230米，宽3米，平整路基。</t>
  </si>
  <si>
    <t>提升道路通行能力，改善本村在高标准农田的出行条件，提质增效。并保障村内514户1342名群众出行安全。</t>
  </si>
  <si>
    <t>2025年5月-2025年5月</t>
  </si>
  <si>
    <t>2025年黄甫镇坪伦墩行政村玉米基地及果园道路硬化项目</t>
  </si>
  <si>
    <t>砖砌后庄自然村200亩玉米种植基地道路536米、宽3米、厚15CM；砖砌坪一自然村50亩果园路段田间道路长505米、宽3米、厚12CM。</t>
  </si>
  <si>
    <t>该项目为基础设施项目，形成公益性资产，产权归村集体所有，由村集体负责人负责管护。方便群众生产、生活，改善农户种植、运输等生产条件，解决农产品外运难问题，降低运输成本，有效提高生产效率，完善村内基础设施。受益农户135户297人，其中脱贫户5户8人。</t>
  </si>
  <si>
    <t>2025年黄甫镇前尧湾行政村糜谷基地生产道路硬化项目</t>
  </si>
  <si>
    <t>对前尧湾行政村260亩糜谷基地生产道路建造产业路，砖砌大墩墕自然村生产道路长1019米、宽3米、厚12CM；砖砌二道河湾自然村生产道路长1135米、宽3米、厚12CM；砖砌前尧湾自然村生产道路长855米、宽3米、厚12CM。</t>
  </si>
  <si>
    <t>该项目为基础设施项目，形成公益性资产，产权归村集体所有，由村集体负责人负责管护。方便群众生产、生活，改善农户种植、运输等生产条件，解决农产品外运难问题，降低运输成本，有效提高生产效率，完善村内基础设施。受益农户53户160人，其中脱贫户6户13人。</t>
  </si>
  <si>
    <t>2025年黄甫镇前园则村瓜菜基地生产道路建设项目</t>
  </si>
  <si>
    <t>砖砌前园则村300亩瓜菜基地生产道路，二道沙沟到马贵长约1100米、宽3米、厚12CM，老围沙坡到后圪坡砖砌长约200米、宽3米、厚12CM。</t>
  </si>
  <si>
    <t>该项目为基础设施项目，形成公益性资产，产权归村集体所有，由村集体负责人负责管护。建成后可提升前园则村农副产品外运通行条件，能使全村农户既省力又省时快捷销售农副产品，方便农民生产生活出行。带动287户936人，其中脱贫户15户42人、监测户2户4人受益。</t>
  </si>
  <si>
    <t>2025年黄甫镇墙头村西瓜玉米基地生产道路建设项目</t>
  </si>
  <si>
    <t>砖砌墙头村780亩西瓜及玉米基地生产道路三条共1224米。三条路长分别为：57米、207米、960米，宽3米，厚12CM。</t>
  </si>
  <si>
    <t>该项目为基础设施项目，形成公益性资产，产权归村集体所有，由村集体负责人负责管护。方便群众生产、生活，改善农户种植、运输等生产条件，解决农产品外运难问题，降低运输成本，有效提高生产效率，完善村内基础设施。受益农户320户790人，其中脱贫户12户23人。</t>
  </si>
  <si>
    <t>2025年黄甫镇尧峁行政村尧峁四村西瓜、玉米基地产业路建设项目</t>
  </si>
  <si>
    <t>砖砌尧峁村四村共计600亩田间道路2条，道路长共2公里，路面宽3米，厚12CM。</t>
  </si>
  <si>
    <t>该项目为基础设施项目，形成公益性资产，产权归村集体所有，由村集体负责人负责管护。方便群众生产、生活，改善农户种植、运输等生产条件，提升道路通行能力，解决农产品外运难问题，降低运输成本，有效提高生产效率，完善村内基础设施。受益农户103户190人，其中脱贫户2户10人，监测户1户2人。</t>
  </si>
  <si>
    <t>2025年黄甫镇黄糜咀行政村石家焉自然村玉米土豆种植基地生产道路硬化项目</t>
  </si>
  <si>
    <t>砖砌石家焉沈宽小大门至前梁120亩玉米土豆种植基地生产道路1公里，宽3米。</t>
  </si>
  <si>
    <t>黄糜咀村</t>
  </si>
  <si>
    <t>产权归村集体所有，方便群众生产、生活，改善农户种植、运输等生产条件，解决农产品外运难问题，降低运输成本，有效提高生产效率，完善村内基础设施。受益农户85户213，其中脱贫户1户1人。</t>
  </si>
  <si>
    <t>2025年黄甫镇黄糜咀行政村柏林峁自然村玉米土豆种植基地生产道路硬化项目</t>
  </si>
  <si>
    <t>砖砌柏林峁自然村王义军大门口至三官庙35亩玉米土豆种植基地生产道路0.5公里，宽3米；砖砌麦地坪至条堰梁250亩玉米土豆种植基地生产道路1公里，宽3米。</t>
  </si>
  <si>
    <t>产权归村集体所有，方便群众生产、生活，改善农户种植、运输等生产条件，解决农产品外运难问题，降低运输成本，有效提高生产效率，完善村内基础设施。受益农户155户397人，其中脱贫户6户6人。</t>
  </si>
  <si>
    <t>2025年黄甫镇黄糜咀行政村黄糜咀自然村玉米土豆种植基地生产道路硬化项目</t>
  </si>
  <si>
    <t>砖砌黄糜咀自然村王德胜叉路至红峁稍120亩玉米土豆种植基地生产道路1公里，宽3米。</t>
  </si>
  <si>
    <t>产权归村集体所有，方便群众生产、生活，改善农户种植、运输等生产条件，解决农产品外运难问题，降低运输成本，有效提高生产效率，完善村内基础设施。受益农户94户260人，其中脱贫户1户2人。</t>
  </si>
  <si>
    <t>2025年府谷镇刘家沟村小杂粮种植基地产业道路建设项目</t>
  </si>
  <si>
    <t>立扎砖硬化刘家沟一二村到1000余亩小杂粮种植基地产业道路，共1750米，宽3米。</t>
  </si>
  <si>
    <t>建成后资产归刘家沟村，受益农户342户845人，16户25人，易返贫致贫户1户1人，保障1000余亩高标准农田的粮食运输。</t>
  </si>
  <si>
    <t>2025年府谷镇王家畔村红焉组果园产业配套建设项目</t>
  </si>
  <si>
    <t>为王家畔村红焉组50亩种植杏儿桃西梅的果园建设产业道路：立扎砖硬化（长750米，宽3米）。</t>
  </si>
  <si>
    <t>建成后资产属于王家畔村红焉组，受益脱贫户50户120人，可以方便保障果园的产量及果子的运输。</t>
  </si>
  <si>
    <t>2025年府谷镇王家洼村玉米种植基地生产道路建设项目</t>
  </si>
  <si>
    <t>300亩玉米种植基地建设：王家焉自然村至阳塔河大坝生产道路1.7公里（立扎砖），3米宽。</t>
  </si>
  <si>
    <t>王家洼村</t>
  </si>
  <si>
    <t>建成后资产属于王家洼村，受益农户615户1575人，受益脱贫户31户49人，受益监测户1户1人，可以保障300亩坝地的粮食运输。</t>
  </si>
  <si>
    <t>2025年府谷镇温李河村小杂粮种植基地产业道路建设项目</t>
  </si>
  <si>
    <t>新建600亩小杂粮种植基地产业道路两段：1，温李河采摘园到老坟湾3公里，2，温李河一村到井湾2公里；道路宽2.5米的，立扎铺砖。</t>
  </si>
  <si>
    <t>建成后资产属于温李河村，受益群众178户600人，可以保障600余亩耕地的粮食运输</t>
  </si>
  <si>
    <t>2025年度古城镇油房坪村集体经济合作社小杂粮基地产业路</t>
  </si>
  <si>
    <t>新建油房坪村郝圪台组至钟家梁组生产道路，长3.7公里，宽3米，采用红砖立铺；配套混凝土排水渠500米；服务于种植玉米73亩，糜子47亩，谷子32亩，黄豆52亩，解决299户1215人出行问题。</t>
  </si>
  <si>
    <t>项目建成后归村集体所有；实施后改善人居环境和农户出行条件，解决林果业生产运送难的问题，间接的提升群众收入，增加人民群众幸福感，提升满意度，受益群众299户1215人，其中脱贫户（含监测户）5户11人。</t>
  </si>
  <si>
    <t>2025年府谷镇柳林碛村经济联合社果园和葡萄道路拓宽项目</t>
  </si>
  <si>
    <t>果园葡萄园立扎砖拓宽（长900mx宽2m）。</t>
  </si>
  <si>
    <t>项目建成后所有权为柳林碛村经济联合社，受益农户354户962人，受益脱贫户12户18人,保障产业路的出行安全。</t>
  </si>
  <si>
    <t>2025年度孤山镇杨家沟村杨家畔自然村小杂粮种植基地配套设施建设项目</t>
  </si>
  <si>
    <t>现有小杂粮种植基地800余亩，需配套新建砖铺产业路长3.4公里，宽3米，厚12厘米。</t>
  </si>
  <si>
    <t>该项目建设后产权归杨家畔村集体所有。改善现有高标准农田产业道路条件，方便农作物运输，增加村集体经济收入，带动81户255人（其中脱贫户4户13人）发展产业项目。</t>
  </si>
  <si>
    <t>2025年田家寨镇王沙峁村寨山组种植业基地生产道路项目</t>
  </si>
  <si>
    <t>砖铺路长2.0公里，宽3.5米，厚12厘米，下有宽3.5米，厚15厘米砂粒土垫层0.9公里七字形混泥土边沟排水</t>
  </si>
  <si>
    <t>该项目为基础设施项目，形成公益性资产，项目建成后产权属于王沙峁村，由王沙峁村负责资产管护。能方便群众农业生产出行，预计可缩短生产运输时间25分钟，提高生产生活质量，同时能为农业机械化作业打下坚实基础，进一步提高农业生产效率。增加农民收入，带动脱贫户4户5人（含监测户），受益农户44户119人。</t>
  </si>
  <si>
    <t>2025年度古城镇五道河村绳匠沟组小杂粮产业路项目</t>
  </si>
  <si>
    <t>新建五道河村绳匠沟组生产道路，长1.7公里、宽2.5米，采用红砖立铺，配套500米混凝土排水渠；服务于种植18亩糜子、20亩谷子、9亩豆子、53亩玉米、50亩高粱。</t>
  </si>
  <si>
    <t>该项目建成后，将形成公益性资产，项目建成后归五道河集体所有，管护人为村支书：项目实施后，进一步完善了村内产业基础设施，能有效改善150亩农田的生产条件，发展特色种植产业，进一步增加群众收入；带动437户1034人（其中脱贫户和监测户13户16人）受益，预计降低运输成本50元/亩，预计周边建设点150亩农田受益。</t>
  </si>
  <si>
    <t>2025年度古城镇沙圪坨村小杂粮产业路项目</t>
  </si>
  <si>
    <t>新建沙圪坨村红泥寨组生产道路，长0.6公里、宽2.5米，配套600米排水；徐沙梁组光伏发电水泥路口至老爷庙沟3号坝生产道路，长0.6公里、宽2.5米，配套600米排水；杜家梁组碾房沟至川塔生产道路，长0.6公里、宽2.5米，配套600米排水；均采用红砖立铺，解决所涉周边的耕地与基本农田因道路不通导致撂荒的问题。</t>
  </si>
  <si>
    <t>该项目建成后，将形成公益性资产，项目建成后归沙圪坨村集体所有，管护人为各自然村村长：项目实施后，进一步完善了村内产业基础设施，能有效改善所涉周边的耕地与基本农田因道路不通导致撂荒的问题。进一步发展特色种植产业，增加群众收入；带动612户1439人（其中脱贫户和监测户23户35人）受益，预计降低运输成本50元/亩。</t>
  </si>
  <si>
    <t>2025年木瓜镇常塔村集体经济联合社高产玉米基地配套过水产业路建设项目</t>
  </si>
  <si>
    <t>混凝土硬化常塔石墩塔至炮家峁沟岔高产玉米基地200亩过水产业路100米，厚18公分，宽3.5米，配套80水泥涵管4根。</t>
  </si>
  <si>
    <t>该项目建成后，将形成公益性资产，产权归常塔村集体经济联合社所有，由集体自主管护，产业路建设直接服务200余亩高产玉米，可改善村集体生产条件，利于群众生产生活及集体发展，间接带动村集体收入。受益农户66户184人，其中脱贫户5户11人。</t>
  </si>
  <si>
    <t>2025年木瓜镇常塔村集体经济联合社万亩有机糜谷基地庄梁至二买林公路段产业路建设项目</t>
  </si>
  <si>
    <t>砖铺常塔庄梁至二买林公路段万亩有机糜谷基地200亩特色糜谷1公里产业路，宽3米，厚0.12米，配套混凝土排水渠900米。</t>
  </si>
  <si>
    <t>该项目建成后，将形成公益性资产，产权归常塔村集体经济联合社所有，由集体自主管护，产业路建设直接服务200余亩特色糜谷，可改善村集体生产条件，利于群众生产生活及集体发展，间接带动村集体收入。受益农户101户286人，其中脱贫户5户15人。</t>
  </si>
  <si>
    <t>2025年木瓜镇常塔村集体经济联合社万亩有机糜谷基地石畔梁至罗叫墕段产业路建设项目</t>
  </si>
  <si>
    <t>砖铺石畔梁至罗叫墕段万亩有机糜谷基地500亩特色糜谷2.5公里产业路，宽3米，厚0.12米，配套混凝土排水渠1000米。</t>
  </si>
  <si>
    <t>该项目建成后，将形成公益性资产，产权归常塔村集体经济联合社所有，由集体自主管护，产业路建设直接服务500余亩特色糜谷，可改善村集体生产条件，利于群众生产生活及集体发展，间接带动村集体收入。受益农户62户181人，受益脱贫户3户7人。</t>
  </si>
  <si>
    <t>2025年黄甫镇尧渠行政村马家焉、杨家沙焉自然村糜子玉米种植基地生产道路硬化项目</t>
  </si>
  <si>
    <t>在马家焉、杨家沙焉自然村360亩糜子玉米种植基地砖砌生产道路1065米。其中马家焉自然村生产道路长365米、宽3米、厚12CM；杨家沙焉自然村生产道路长700米、宽3米、厚12CM。</t>
  </si>
  <si>
    <t>该项目为基础设施项目，形成公益性资产，产权归村集体所有，由村集体负责人负责管护。方便群众生产、生活，改善农户种植、运输等生产条件，提升道路通行能力，解决农产品外运难问题，降低运输成本，有效提高生产效率，完善村内基础设施。受益农户108户277人，其中脱贫户6户12人。</t>
  </si>
  <si>
    <t>2025年府谷县哈镇大岔行政村集体经济合作社高粱种植基地配套项目</t>
  </si>
  <si>
    <t>为大岔行政村大岔自然村200亩高粱种植基地铺设砖砌生产道路1条，总长1450米，宽3.5米，厚0.12米，采用砖砌结构，配套完善农田基础设施，提升农业生产运输效率。</t>
  </si>
  <si>
    <t>该项目建成后，将形成公益性资产，且资产产权归村集体所有，由村集体自主运营管护，通过改善生产运输条件，预计降低农业运输成本20%，带动村集体年增收1.8万元。预计受益农户449户，其中脱贫户及监测户55户119人。</t>
  </si>
  <si>
    <t>2025年新民镇温庄则村巩固提升供水工程</t>
  </si>
  <si>
    <t>芦草畔、上中圪垯、东沟村饮用黄河水工程，从新尧万墩引水，计划铺设5寸PE管长约3公里，建设检查井20个。</t>
  </si>
  <si>
    <t>温庄则村</t>
  </si>
  <si>
    <t>该项目建成后产权归集体所有，巩固提升87户265人（其中脱贫户0户0人）安全饮水成果，实现安全饮水有保障。</t>
  </si>
  <si>
    <t>府谷县水利局</t>
  </si>
  <si>
    <t>2025年清水镇海则庙村韩庄则一村、二村、三村、贾家咀组巩固提升供水工程</t>
  </si>
  <si>
    <t>在韩庄则自然村新建400米深机井一眼、更新2寸PE上水管线2730米，入户管线1200米。</t>
  </si>
  <si>
    <t>项目建成后，产权归集体所有，巩固提升安全饮水成果，实现安全饮水有保障，受益群众155户483人，脱贫户（含监测户）10户22人。</t>
  </si>
  <si>
    <t>2025年度清水镇王家焉村接通水务公司自来水管道供水工程</t>
  </si>
  <si>
    <t>从水务公司在郭家峁自然村自来水管道的口子接通到王家墕自然村、尖堡则自然村。预计管线8千米，2.5寸无缝钢管，新建检查井8个（底部直径1.5米，收口直径1米，深2米），阀门16个。</t>
  </si>
  <si>
    <t>产权归村集体，项目建成后，安全饮水得到保障。预计农户有323户886人（其中脱贫户8户12人，监测户2户5人）可受益。</t>
  </si>
  <si>
    <t>2025年度古城镇园则湾村贾米湾组巩固提升供水工程</t>
  </si>
  <si>
    <t>新建人饮井1座，井深100米:内径1.0米。配套抽水设施1套、铜芯电缆线500米。</t>
  </si>
  <si>
    <t>该项目产权归村集体所有，可巩固提升贾米湾组140户341人饮水安全，提高群众满意度。</t>
  </si>
  <si>
    <t>2025年度老高川镇磁尧村小板兔组巩固提升供水工程</t>
  </si>
  <si>
    <t>打机井1眼，井深50米，机房，输水工程Dn63PE管道440m，14个检查井，维修30m3高位水池1座，供水工程：Dn50PE管360m、Dn32PE管950m,、Dn25PE管550m，购置水泵1台及相关配件。</t>
  </si>
  <si>
    <t>该项目产权归村集体所有，巩固提升34户114人安全饮水成果，实现安全饮水有保障。</t>
  </si>
  <si>
    <t>2025年武家庄镇高庄则行政村上杜家崖尧组巩固提升供水工程</t>
  </si>
  <si>
    <t>上杜家崖尧人饮打井井深50米，直径1米，200扬程抽水泵1个，电线200米，PE输水管路200米，水井房1座，配电柜1台、电闸1个。</t>
  </si>
  <si>
    <t>巩固提升46户129人饮水安全，保障日常生活用水。</t>
  </si>
  <si>
    <t>2025年武家庄镇高庄则行政村郭家沙峁组巩固提升供水工程</t>
  </si>
  <si>
    <t>郭家沙峁村人饮打井井深50米，直径1米，200扬程抽水泵1个，电线300米，PE输水管道300米，水井房1座，配电柜1台、电闸1个。</t>
  </si>
  <si>
    <t>巩固提升26户74人（含脱贫户1户4人）饮水安全，巩固脱贫成果。</t>
  </si>
  <si>
    <t>2025年武家庄镇白家峁行政村舍科组巩固提升供水工程</t>
  </si>
  <si>
    <t>从白家峁村现有高位水池（120立方米）引水，敷设DN50镀锌钢管3000余米，配套检查井8座，安装阀门、供电设施。</t>
  </si>
  <si>
    <t>产权归村集体，巩固提升舍科自然村69户168人饮水保障水平，其中脱贫户4户7人。</t>
  </si>
  <si>
    <t>2025年武家庄镇郭家峁行政村武家畔组巩固提升供水工程</t>
  </si>
  <si>
    <t>清理现水源井淤泥28m深，原水源井需配套直径1m水泥套管40m，新建井房1座及提水设备1套。</t>
  </si>
  <si>
    <t>郭家峁村</t>
  </si>
  <si>
    <t>巩固提升40户106人饮水安全，巩固脱贫成果。</t>
  </si>
  <si>
    <t>2025年武家庄镇王家墩行政村奥家洼组巩固提升供水工程项目</t>
  </si>
  <si>
    <t>在奥家洼村沟底打机井一眼，深200米，解决奥家洼村吃水难问题，380V供电线路380米，购买多级水泵一台，铺设直径50的pe管上水管道2400米，阀门井6座。</t>
  </si>
  <si>
    <t>王家墩村</t>
  </si>
  <si>
    <t>巩固提升68户201人（含脱贫户4户12人）饮水安全，巩固脱贫成果</t>
  </si>
  <si>
    <t>2025年武家庄镇王家墩行政村石槽坪组巩固提升供水工程</t>
  </si>
  <si>
    <t>在石槽坪村沟底打机井一眼，深80米，解决石槽坪村内村民吃水难问题。机房1座，水泵1台，铺设管输水dn63×5.8PE管道1600m，阀门井8座、配套设施1套等。</t>
  </si>
  <si>
    <t>巩固提升95户253人（含脱贫户7户10人）饮水安全，巩固脱贫成果</t>
  </si>
  <si>
    <t>2025年庙沟门镇赵五家湾村王顺梁巩固提升供水工程</t>
  </si>
  <si>
    <t>赵五家湾村王顺梁自然村供水工程，新建水源井1座，（井深20m,井径1.2m）50方高位水池，dn63输水管道2000m,到户管道dn40PE管1500m,水泵1台、变压器1台。</t>
  </si>
  <si>
    <t>巩固提升24户68人（其中脱贫户5户8人）安全饮水成果，实现安全饮水有保障。</t>
  </si>
  <si>
    <t>2025年庙沟门镇沙梁村哈达沟组巩固提升供水工程</t>
  </si>
  <si>
    <t>新建水井1座（深50米），50立方米高位水池，dn63输水管道500米及到户管线dn40PE管2000米，水泵一台（50KW）。</t>
  </si>
  <si>
    <t>沙梁村</t>
  </si>
  <si>
    <t>巩固提升30户91人安全饮水成果，实现安全饮水有保障。</t>
  </si>
  <si>
    <t>2025年府谷县农村供水维修养护项目</t>
  </si>
  <si>
    <t>对全县1003处农村供水工程动态监测和管护工作，及时维修设施设备，对年久失修、影响供水的工程部分进行维修养护。确保农村供水设施正常运行，巩固农村安全饮水成果。</t>
  </si>
  <si>
    <t>做好全县1003处农村供水工程动态监测和管护工作，及时维修设施设备，确保农村供水设施正常运行，巩固农村安全饮水成果。受益1112户2780人，其中脱贫户164户316人。</t>
  </si>
  <si>
    <t>2025年府谷县农村供水应急保障项目</t>
  </si>
  <si>
    <t>18个镇（中心）应急供水保障资金，做好应急送水保障，对存在季节性缺水的村子按需送水保障，确保农村居民饮水安全，巩固农村安全饮水成果。</t>
  </si>
  <si>
    <t>做好应急送水保障，巩固农村安全饮水成果。受益2106户，5265人，其中脱贫户446户669人。</t>
  </si>
  <si>
    <t>2025年府谷县农村供水工程水质检测及达标处理项目</t>
  </si>
  <si>
    <t>开展农村安全饮水水质检测，保障水质，巩固农村安全饮水成果，按计划对全县1003处集中供水工程水源进行水质检测。对水质不达标水源进行达标处理，确保水质达标，巩固农村安全饮水成果。</t>
  </si>
  <si>
    <t>开展农村安全饮水水质检测，对水质不达标水源进行达标处理，保障水质巩固农村27344户52503人（其中脱贫户2645户5155人）安全饮水成果。</t>
  </si>
  <si>
    <t>2025年哈镇哈镇行政村巩固提升供水工程</t>
  </si>
  <si>
    <t>在哈镇行政村新建深2米、内径1.5米的检查井240个，安装插卡式水表、阀门等配套设备604套</t>
  </si>
  <si>
    <t>该项目建成后，将形成公益性资产，且资产产权归村集体所有，由村集体自主运营管护，巩固提升604户1368人（其中脱贫户及监测对象52户85人。）安全饮水成果，实现安全饮水有保障。</t>
  </si>
  <si>
    <t>2025年黄甫镇大桃山村巩固提升供水工程</t>
  </si>
  <si>
    <t>更换冯家会村到真武庙输水φ57×3.5无缝钢管2500m，（其中需开挖、回填管线1600m），新建100m3水池1个。</t>
  </si>
  <si>
    <t>产权归村集体所有，巩固提升大桃山村安全饮水成果，改善生活生产条件，实现安全饮水有保障，受益农户101户235人，其中脱贫户5户8人。</t>
  </si>
  <si>
    <t>2025年3月--2025年10月</t>
  </si>
  <si>
    <t>2025年黄甫镇冯家会行政村蔺家焉自然村巩固提升供水工程</t>
  </si>
  <si>
    <t>铺设真武庙至蔺家焉自然村段人饮供水管线2700米（明管），2寸无缝钢管材质，配套相应的法兰、垫片等。</t>
  </si>
  <si>
    <t>冯家会村</t>
  </si>
  <si>
    <t>产权归村集体所有，改善农户生活生产条件，解决蔺家焉村人畜饮水问题，实现安全饮水有保障。受益农户23户26人，其中脱贫2户2人。</t>
  </si>
  <si>
    <t>2025年府谷镇贵峁村贵峁上下组巩固提升供水工程</t>
  </si>
  <si>
    <t>贵峁上下村新建50m3蓄水池，新建100m3高位水池，铺设输水管道2000m（φ57×3.5无缝钢管300m，dn63×5.8PE管1700m），安装太阳能发电抽水设备1套。</t>
  </si>
  <si>
    <t>该项目产权归集体所有，项目建成后改善村民饮水状况。受益农户113户331人，受益脱贫户12户31人</t>
  </si>
  <si>
    <t>2025年府谷镇尖圪垯村前庄组巩固提升供水工程</t>
  </si>
  <si>
    <t>建设深100米（口径1.2米）的机井1眼，需要更换供水dn63×5.8PE管1200m，dn50×4.6PE管2800m。</t>
  </si>
  <si>
    <t>尖圪垯村</t>
  </si>
  <si>
    <t>建成后资产属于前庄自然村和尖圪垯自然村，受益农户180户530人，受益脱贫户21户48人，受益监测户1户4人。</t>
  </si>
  <si>
    <t>2025年度府谷镇三和村白家洼村巩固提升供水工程</t>
  </si>
  <si>
    <t>为三和村白家洼村更换上下水管道，铺设φ57×3.5无缝钢管1500米，供水dn63×5.8PE管1500m，dn50×4.6PE管1500m。</t>
  </si>
  <si>
    <t>三和村</t>
  </si>
  <si>
    <t>巩固提升村内110户村民的饮水安全</t>
  </si>
  <si>
    <t>2025年府谷镇王家畔村乔家峁组人畜饮水巩固提升项目</t>
  </si>
  <si>
    <t>新打井一眼（50米深，直径1.2米），铺设输水φ57×3.5无缝钢管800m。</t>
  </si>
  <si>
    <t>建成后资产属于王家畔村乔家峁组，受益脱贫户106户296人，受益脱贫户7户14人，可以保障村内人畜饮水。。</t>
  </si>
  <si>
    <t>2025年府谷镇温李河赵石堡组巩固提升供水工程</t>
  </si>
  <si>
    <t>更换管φ57×3.5无缝钢管750m。</t>
  </si>
  <si>
    <t>建成后资产属于温李河村赵石堡组，受益群众87户223人，巩固提升村内人畜饮水。</t>
  </si>
  <si>
    <t>2025年孤山镇房塔村上申家峁组巩固提升供水工程</t>
  </si>
  <si>
    <r>
      <rPr>
        <sz val="14"/>
        <rFont val="仿宋"/>
        <charset val="134"/>
      </rPr>
      <t>大口井1眼，大口井管理房1座，上水管路dn63×5.8PE管1420m，φ57×3.5无缝钢管600m，50m</t>
    </r>
    <r>
      <rPr>
        <sz val="14"/>
        <rFont val="宋体"/>
        <charset val="134"/>
      </rPr>
      <t>³</t>
    </r>
    <r>
      <rPr>
        <sz val="14"/>
        <rFont val="仿宋"/>
        <charset val="134"/>
      </rPr>
      <t>高位水池1座，以及抽水配套设施等。</t>
    </r>
  </si>
  <si>
    <t>该项目建成后产权归村集体所有，可有效提升改善全村用水质量，让全村91户223人（其中脱贫户3户9人，监测户1户5人）用水有保障。</t>
  </si>
  <si>
    <t>2025年黄甫镇山神堂行政村一、二自然村巩固提升供水工程</t>
  </si>
  <si>
    <t>新建水源大口井管理房一座；新铺设输水管线φ89*4.0国标无缝钢管长4696.0m；新建输水管线排气、排水、检修阀门井4座，配套输水相关闸阀系统一套；安装输水管道标志桩50个；修筑石方施工道路1.0km；新建高位水池消毒设施一套。</t>
  </si>
  <si>
    <t>该项目为基础设施项目，形成公益性资产，产权归村集体所有，由村集体负责人负责管护。改善村民生活生产条件，实现安全饮水有保障。受益农户155户391人，其中脱贫户3户3人，监测户1户1人。</t>
  </si>
  <si>
    <t>2025年田家寨镇王沙峁村柏家焉组巩固提升供水工程</t>
  </si>
  <si>
    <t>新建50m3混凝土高位水池一座；更换φ57×3.5无缝钢管96m，dn63PE管上水管线1025m；更换供水管道3430m(其中dn50×4.6PE管550m，dn40×3.7PE管1380m，dn32×3.0PE管1500m)，配套水泵、机电设施1套等。</t>
  </si>
  <si>
    <t>该项目为基础设施项目，形成公益性资产，项目建成后产权归王沙峁村，由王沙峁村负责资产管护运营；带动脱贫户2户7人（含监测户），受益农户56户149人，极大地满足柏家焉多少村民用水需求</t>
  </si>
  <si>
    <t>2025年.4-2025.11</t>
  </si>
  <si>
    <t>2025年田家寨镇刘家畔村巩固提升供水工程</t>
  </si>
  <si>
    <t>刘家畔村需要新打大口井1眼，新建50m3混凝土的高位水池1座、更换输水φ57*3.5国标无缝钢管430m，设dn63×5.8PE管280m，供水管线880m，分水阀门井3座。配套机电设施1套。</t>
  </si>
  <si>
    <t>刘家畔村</t>
  </si>
  <si>
    <t>项目建成后产权属于刘家畔村，形成公益性资产，由刘家畔村负责资产管护运营。可解决刘家畔村和阳山渠村两村62户198人，其中（脱贫户8户18人）的人畜饮水问题。</t>
  </si>
  <si>
    <t>2025年田家寨镇刘家畔村边圪崂组巩固提升供水工程</t>
  </si>
  <si>
    <t>边圪崂村需新打槽井一口，长8米，宽3米，深5米，配套PE63管线530米，新建30m3高位水池1座，铺设供水管线2160m，阀门井12座，配套井房、水泵等机电设施1套。</t>
  </si>
  <si>
    <t>项目建成后，形成公益性资产，产权属于刘家畔村，由刘家畔村负责管护运营。可解决全粗31户85人其中（脱贫户3户6人）饮水存在问题，进一步巩固提升饮水成果，</t>
  </si>
  <si>
    <t>2025年田家寨镇兴旺庄村张石畔巩固提升供水工程</t>
  </si>
  <si>
    <r>
      <rPr>
        <sz val="14"/>
        <rFont val="仿宋"/>
        <charset val="134"/>
      </rPr>
      <t>新打井大口井1眼；新建水塔一座50m</t>
    </r>
    <r>
      <rPr>
        <sz val="14"/>
        <rFont val="宋体"/>
        <charset val="134"/>
        <scheme val="minor"/>
      </rPr>
      <t>³</t>
    </r>
    <r>
      <rPr>
        <sz val="14"/>
        <rFont val="仿宋"/>
        <charset val="134"/>
      </rPr>
      <t>，铺设输水φ57*3.5国标无缝钢管300m，供水管2385m，新建井房1座，配套水泵等机电设施1套等。</t>
    </r>
  </si>
  <si>
    <t>该项目为基础设施项目，形成公益性资产，产权属于兴旺庄村，由兴旺庄村负责管护。有效解决62户166人（其中脱贫户3户4人）饮水存在困难，提高群众满意度。</t>
  </si>
  <si>
    <t>2025年木瓜镇常塔行政村石畔梁组人饮巩固提升工程</t>
  </si>
  <si>
    <t>新建截潜流井（φ1000钢筋砼管渗井长30米）及机房1座，50m3高位水池1座，φ57×3.5无缝钢管120m，dn63输水管道372m，到户管道PE管2101m等。</t>
  </si>
  <si>
    <t>该项目产权归集体所有，能有效巩固提升安全饮水成果，实现安全饮水有保障。受益农户33户104人，受益脱贫户1户2人。</t>
  </si>
  <si>
    <t>2025年府谷镇柴家墕村石塔梁组巩固提升供水工程</t>
  </si>
  <si>
    <t>更换供水工程到户管道约2142m（供水dn50×4.6PE管721m，dn40×3.7PE管305m，dn32×3.0PE管436m，dn25×2.3PE管680m）。检查井22个等。</t>
  </si>
  <si>
    <t>柴家墕村</t>
  </si>
  <si>
    <t>巩固提升村内人畜饮水，受益农户44户128人，受益脱贫户2户3人</t>
  </si>
  <si>
    <t>2025年度老高川镇老高川村李家梁组、石岩畔组巩固提升供水工程</t>
  </si>
  <si>
    <r>
      <rPr>
        <sz val="14"/>
        <rFont val="仿宋"/>
        <charset val="134"/>
      </rPr>
      <t>引用惠泉水，铺设Dn89无缝钢管350m，分水阀门井1个，李家梁组新建分水调节池（50m</t>
    </r>
    <r>
      <rPr>
        <sz val="14"/>
        <rFont val="宋体"/>
        <charset val="134"/>
      </rPr>
      <t>³</t>
    </r>
    <r>
      <rPr>
        <sz val="14"/>
        <rFont val="仿宋"/>
        <charset val="134"/>
      </rPr>
      <t>）1座，机房、输水管道Dn63PE管1570m、石岩畔组高位水池50m</t>
    </r>
    <r>
      <rPr>
        <sz val="14"/>
        <rFont val="宋体"/>
        <charset val="134"/>
      </rPr>
      <t>³</t>
    </r>
    <r>
      <rPr>
        <sz val="14"/>
        <rFont val="仿宋"/>
        <charset val="134"/>
      </rPr>
      <t>，李家梁高位水池30m</t>
    </r>
    <r>
      <rPr>
        <sz val="14"/>
        <rFont val="宋体"/>
        <charset val="134"/>
      </rPr>
      <t>³</t>
    </r>
    <r>
      <rPr>
        <sz val="14"/>
        <rFont val="仿宋"/>
        <charset val="134"/>
      </rPr>
      <t>、供水管道：Dn50PE管1850m、Dn40PE管1320m、Dn32PE管2960m，检查井24座及相关配件等。</t>
    </r>
  </si>
  <si>
    <t>该项目产权归村集体所有，巩固提升78户214人安全饮水成果，实现安全饮水有保障,改善老高川村用水问题，提升居民幸福感，受益农户78户214人，受益脱贫户3户8人，保障水资源合理利用。</t>
  </si>
  <si>
    <t>2025年木瓜镇前梁行政村南庄组巩固提升供水工程</t>
  </si>
  <si>
    <t>新建水源大口井1眼，新建井房1座，输水φ45×3.0无缝钢管120m，供水管线450m；配套水泵。</t>
  </si>
  <si>
    <t>该项目产权归集体所有，能有效巩固提升安全饮水成果，实现安全饮水有保障。受益农户43户138人，受益脱贫户0户0人。</t>
  </si>
  <si>
    <t>2025年木瓜镇柳沟行政村菜卜墕组人饮巩固提升工程</t>
  </si>
  <si>
    <t>铺设输水钢管900m，管道采用架空；新建输水PE管网700m，新建阀井2座，配备电力设施等。</t>
  </si>
  <si>
    <t>柳沟村</t>
  </si>
  <si>
    <t>该项目产权归集体所有，能有效巩固提升安全饮水成果，实现安全饮水有保障。受益农户51户159人，受益脱贫户1户3人。</t>
  </si>
  <si>
    <t>2025年木瓜镇尧坬坡行政村尧坬坡组巩固提升供水工程</t>
  </si>
  <si>
    <r>
      <rPr>
        <sz val="14"/>
        <rFont val="仿宋"/>
        <charset val="134"/>
      </rPr>
      <t>在尧坬坡自然村新建一个井深30米，口径1.2米的人饮水井，新建一个100立方米的高位水池，并配套2寸PE上下管道2000米，50mm</t>
    </r>
    <r>
      <rPr>
        <sz val="14"/>
        <rFont val="宋体"/>
        <charset val="134"/>
      </rPr>
      <t>²</t>
    </r>
    <r>
      <rPr>
        <sz val="14"/>
        <rFont val="仿宋"/>
        <charset val="134"/>
      </rPr>
      <t>电缆100米及水泵一台（扬程100米）。</t>
    </r>
  </si>
  <si>
    <t>该项目产权归集体所有，项目建成后，保障村民生产、生活安全用电，受益农户104户304人，受益脱贫户6户16人。</t>
  </si>
  <si>
    <t>2025年新民镇高山村巩固提升供水工程</t>
  </si>
  <si>
    <r>
      <rPr>
        <sz val="14"/>
        <rFont val="仿宋"/>
        <charset val="134"/>
      </rPr>
      <t>高山村供水系统：为高山组、唐山组、郝家兴庄组、板墩组、魏沙焉组5个自然村人蓄饮水引用惠泉水务公司自来水，新建加压泵站（泵房泵室平面尺寸4.2米*5米）1座，离心水泵1台（7.5kw，扬程136米，流量16m</t>
    </r>
    <r>
      <rPr>
        <sz val="14"/>
        <rFont val="宋体"/>
        <charset val="134"/>
      </rPr>
      <t>³</t>
    </r>
    <r>
      <rPr>
        <sz val="14"/>
        <rFont val="仿宋"/>
        <charset val="134"/>
      </rPr>
      <t>/h）,水泵前设缓冲罐，额定扬程136米，新建200m</t>
    </r>
    <r>
      <rPr>
        <sz val="14"/>
        <rFont val="宋体"/>
        <charset val="134"/>
      </rPr>
      <t>³</t>
    </r>
    <r>
      <rPr>
        <sz val="14"/>
        <rFont val="仿宋"/>
        <charset val="134"/>
      </rPr>
      <t>清水池1座（进水管中心高程1170.00m），同时实施输水管道工程、高位蓄水池配水管道工程及入户管网工程（272户）。50m</t>
    </r>
    <r>
      <rPr>
        <sz val="14"/>
        <rFont val="宋体"/>
        <charset val="134"/>
      </rPr>
      <t>³</t>
    </r>
    <r>
      <rPr>
        <sz val="14"/>
        <rFont val="仿宋"/>
        <charset val="134"/>
      </rPr>
      <t>高位水池1座，输水管道DN100，压力1.0MPa，管道长度485米，中间设一水表井，dn125SDR11PE100管道有效内径100mm，长度3600m。
新城川村供水系统：由打井塔至瓦窑坡方向同顺DN200支管接出，起点高程1133米，接水点净压水头82米，新建加压泵站1座，离心水泵1台（7.5kw，扬程136米，流量16m</t>
    </r>
    <r>
      <rPr>
        <sz val="14"/>
        <rFont val="宋体"/>
        <charset val="134"/>
      </rPr>
      <t>³</t>
    </r>
    <r>
      <rPr>
        <sz val="14"/>
        <rFont val="仿宋"/>
        <charset val="134"/>
      </rPr>
      <t>/h）,100m</t>
    </r>
    <r>
      <rPr>
        <sz val="14"/>
        <rFont val="宋体"/>
        <charset val="134"/>
      </rPr>
      <t>³</t>
    </r>
    <r>
      <rPr>
        <sz val="14"/>
        <rFont val="仿宋"/>
        <charset val="134"/>
      </rPr>
      <t>高位水池1座，池顶高程1195米，池内配液控1.0MPa浮球阀1个，管道起始段设一水表井，T接水至高位水池，输水管dn50P100SDR11，管道长度242米。由高位水池至现有供水系统连接干管，输水管dn63P100SDR11，联络管道长度约120米，设计压力0.6MPa，安装入户水表92个/水表井92个。</t>
    </r>
  </si>
  <si>
    <t>高山村
新城川村</t>
  </si>
  <si>
    <t>该项目建成后产权归高山村和新城川村集体所有，巩固提升高山村272户902人（其中脱贫户2户3人），新城川村92户405人（其中脱贫户3户3人）安全饮水成果，实现安全饮水有保障。</t>
  </si>
  <si>
    <t>2025年新民镇新民村巩固提升供水工程</t>
  </si>
  <si>
    <t>计划对新民村刘家沟、田家畔、麻家沟三个自然村供水工程进行巩固提升，其中刘家沟自然村铺设输水φ57×3.5无缝钢管350m、dn63×5.8PE管铺880m，主供水dn50×4.6PE管铺设130m，到户dn32×3.0PE管1200m；田家畔自然村供水dn50×4.6PE管铺设390m，支dn40×3.7PE塑料管铺设770m，到户dn32×3.0PE管800m，阀门井10座；麻家沟自然村铺设输水φ57×3.5无缝钢管220m、dn63×5.8PE管铺设520m，并配备相关配套设施。</t>
  </si>
  <si>
    <t>该项目建成后产权归集体所有，巩固提升170户601人（其中脱贫户1户3人）安全饮水成果，实现安全饮水有保障。</t>
  </si>
  <si>
    <t>2025年府谷县哈镇大岔行政村集镇巩固提升供水工程</t>
  </si>
  <si>
    <t>新建截潜流井1座，潜流井直径6米，深20米，潜流长100米；配套铺设管外径59.8毫米、2寸镀锌钢管200米，安装1000W水泵1台。</t>
  </si>
  <si>
    <t>该项目形成公益性资产，产权归大岔村集体所有，由村委会负责管护。项目实施后，预计巩固提升56户110人（其中脱贫户34户56人）的供水保障能力，满足农户生活用水需求。</t>
  </si>
  <si>
    <t>2025年哈镇硬路塔行政村石家峁组巩固提升供水工程</t>
  </si>
  <si>
    <r>
      <rPr>
        <sz val="14"/>
        <rFont val="仿宋"/>
        <charset val="134"/>
      </rPr>
      <t>石家峁饮水深井蓄水量不能满足需求，需新新建水源大口井1眼及管理房1座，30m</t>
    </r>
    <r>
      <rPr>
        <sz val="14"/>
        <rFont val="宋体"/>
        <charset val="134"/>
      </rPr>
      <t>³</t>
    </r>
    <r>
      <rPr>
        <sz val="14"/>
        <rFont val="仿宋"/>
        <charset val="134"/>
      </rPr>
      <t>高位蓄水池1座；新铺设输水管线150m，新铺设供水管线2640m，配套抽水设备1套等。</t>
    </r>
  </si>
  <si>
    <t>该项目产权归村集体所有，项目建成后，将形成公益性资产，且资产产权归村集体所有，由村集体自主运营管护，巩固提升30户101人脱贫户2户3人安全饮水成果，实现安全饮水有保障。</t>
  </si>
  <si>
    <t>2025年哈镇硬路塔行政村香柏梁组巩固提升供水工程</t>
  </si>
  <si>
    <r>
      <rPr>
        <sz val="14"/>
        <rFont val="仿宋"/>
        <charset val="134"/>
      </rPr>
      <t>香柏梁原有水井漏水，新建水源蓄水池1座，30m</t>
    </r>
    <r>
      <rPr>
        <sz val="14"/>
        <rFont val="宋体"/>
        <charset val="134"/>
      </rPr>
      <t>³</t>
    </r>
    <r>
      <rPr>
        <sz val="14"/>
        <rFont val="仿宋"/>
        <charset val="134"/>
      </rPr>
      <t>高位蓄水池1座；新铺设输φ57*3.5国标无缝钢管长150.0m，dn63*5.8国标PE管长220.0m，新铺设供水dn32*3国标PE管长1200.0m，配套抽水设备1套等。</t>
    </r>
  </si>
  <si>
    <t>该项目产权归村集体所有，项目建成后，将形成公益性资产，且资产产权归村集体所有，由村集体自主运营管护，巩固提升55户87人脱贫户2户7人，安全饮水成果，实现安全饮水有保障。</t>
  </si>
  <si>
    <t>2025年府谷县哈镇店塔行政村赵家塔组巩固提升供水工程</t>
  </si>
  <si>
    <r>
      <rPr>
        <sz val="14"/>
        <rFont val="仿宋"/>
        <charset val="134"/>
      </rPr>
      <t>新建50m</t>
    </r>
    <r>
      <rPr>
        <sz val="14"/>
        <rFont val="宋体"/>
        <charset val="134"/>
        <scheme val="minor"/>
      </rPr>
      <t>³</t>
    </r>
    <r>
      <rPr>
        <sz val="14"/>
        <rFont val="仿宋"/>
        <charset val="134"/>
      </rPr>
      <t>钢筋砼蓄水池，新建配水管网1188.5m，管道埋深1.6m；新建阀井25座等。</t>
    </r>
  </si>
  <si>
    <t>该项目建成后产权归村集体所有，巩固提升33户80人（其中脱贫户2户2人）安全饮水成果，实现安全饮水有保障。</t>
  </si>
  <si>
    <t>2025年清水镇古沟村五里塔组巩固提升供水工程</t>
  </si>
  <si>
    <r>
      <rPr>
        <sz val="14"/>
        <rFont val="仿宋"/>
        <charset val="134"/>
      </rPr>
      <t>在五里塔自然村新建50m</t>
    </r>
    <r>
      <rPr>
        <sz val="14"/>
        <rFont val="宋体"/>
        <charset val="134"/>
        <scheme val="minor"/>
      </rPr>
      <t>³</t>
    </r>
    <r>
      <rPr>
        <sz val="14"/>
        <rFont val="仿宋"/>
        <charset val="134"/>
      </rPr>
      <t>混凝土高位水池一个，更换输水φ57×3.5无缝钢管620m、dn63PE40m，铺设供水管道4155m（其中dn50×4.6PE管1330m，dn40×3.7PE管1125m，dn32×3.0PE管1700m），检查井26个。</t>
    </r>
  </si>
  <si>
    <t>古沟村</t>
  </si>
  <si>
    <t>项目建成后，产权归集体所有，巩固提升安全饮水成果，实现安全饮水有保障，受益群众83户252人，脱贫户（含监测户）4户16人</t>
  </si>
  <si>
    <t>2025年清水镇古沟村边前湾组巩固提升供水工程</t>
  </si>
  <si>
    <r>
      <rPr>
        <sz val="14"/>
        <rFont val="仿宋"/>
        <charset val="134"/>
      </rPr>
      <t>在边前湾自然村新建水源大口井1眼，管理房1座，30m</t>
    </r>
    <r>
      <rPr>
        <sz val="14"/>
        <rFont val="宋体"/>
        <charset val="134"/>
        <scheme val="minor"/>
      </rPr>
      <t>³</t>
    </r>
    <r>
      <rPr>
        <sz val="14"/>
        <rFont val="仿宋"/>
        <charset val="134"/>
      </rPr>
      <t>混凝土高位水池1座，更新2寸输水管线242m，铺设供水管道1310m（其中dn50×4.6PE管520m，dn40×3.7PE管390m，dn32×3.0PE管400m），检查井10座，抽水配套设施等</t>
    </r>
  </si>
  <si>
    <t>项目建成后，产权归集体所有，巩固提升安全饮水成果，实现安全饮水有保障，受益群众42户112人</t>
  </si>
  <si>
    <t>2025年黄甫镇前园则行政村一村巩固提升供水工程</t>
  </si>
  <si>
    <t>新建高位水塔消毒装置一套，新铺设输水管线主管道800米、支管道1800米、铁管80米；新建检查井5个；新安装水表15套等。</t>
  </si>
  <si>
    <t>该项目为基础设施项目，形成公益性资产，产权归村集体所有，由村集体负责人负责管护。巩固提升前园则村安全饮水成果，改善生活生产条件，实现安全饮水有保障，受益农户287户936人，其中脱贫户15户42人、监测户2户4人受益。</t>
  </si>
  <si>
    <t>2025年黄甫镇尧峁行政村巩固提升供水工程</t>
  </si>
  <si>
    <t>在尧峁自然三村、自然四村，尧峁自然一村、自然二村、自然六村实施自来水管道提升改造，维修更换40mmPE供水主管线1300米、25mm入户PE管线2000米。</t>
  </si>
  <si>
    <t>该项目为基础设施项目，形成公益性资产，产权归村集体所有，由村集体负责人负责管护。改善村民生活生产条件，实现安全饮水有保障。受益农户396户736人，其中脱贫户15户38人，监测户3户6人（已脱贫监测户1户2人）。</t>
  </si>
  <si>
    <t>2025年木瓜镇常塔行政村赵崖尧组人饮巩固提升工程</t>
  </si>
  <si>
    <t>利用去年新修水井，计划新建30方高位水池1座，2寸PE上水管道350m，到户主管道2寸PE管200米，分水管0.8寸PE管1600米，配套2寸多级离心水泵一台等。</t>
  </si>
  <si>
    <t>该项目建成后，将形成公益性资产，产权归常塔村集体经济联合社所有，由集体自主管护，该项目产权归集体所有，能有效巩固提升安全饮水成果，实现安全饮水有保障。受益农户28户80人，受益脱贫户2户5人。</t>
  </si>
  <si>
    <t>2025年木瓜镇常塔行政村王家村组人饮巩固提升工程</t>
  </si>
  <si>
    <t>利用现有水井，计划新建30方高位水池1座，输水φ57×3.5无缝钢管180m，供水dn63PE管979m，dn40PE管214.5m，dn32PE管660m，配套水泵1台等。</t>
  </si>
  <si>
    <t>该项目建成后，将形成公益性资产，产权归常塔村集体经济联合社所有，由集体自主运营管护，该项目产权归集体所有。能有效巩固提升安全饮水成果，实现安全饮水有保障。受益农户43户128人，受益脱贫户2户7人。</t>
  </si>
  <si>
    <t>2025年古城镇沙圪坨村丁家梁自然村巩固提升供水工程</t>
  </si>
  <si>
    <t>新建水源大口井管理房一座（水井配电房），建井深12米，新铺设输水管线2500.0m，高压线1.1千米；新增2台水泵，扬程150米、260米；新建输水管线排气、20KV变压器一台；排水、检修阀门井2座等。</t>
  </si>
  <si>
    <t>该项目建成后，将形成公益性资产，产权归沙圪坨村集体所有，管护人为自然村村长；巩固提升丁家梁自然村安全饮水成果，改善生活生产条件，实现安全饮水有保障，受益农户69户139人，其中脱贫户2户2人。</t>
  </si>
  <si>
    <t>2025年古城镇罗家沟村李家沟自然村巩固提升供水工程</t>
  </si>
  <si>
    <t>新建水源大口井管理房一座（水井配电房），建井深10米，新铺设输水管线1500.0m，高压线4千米；新建输水管线排气、排水等（建议采用太阳能）</t>
  </si>
  <si>
    <t>该项目建成后，将形成公益性资产，产权归罗家沟村集体所有，管护人为自然村村长；巩固提升李家沟自然村安全饮水成果，改善生活生产条件，实现安全饮水有保障，受益农户49户133人，其中脱贫户5户5人。</t>
  </si>
  <si>
    <t>2025年古城镇罗家沟村范家梁自然村巩固提升供水工程</t>
  </si>
  <si>
    <t>新建水源大口井管理房一座（水井配电房），建井深10米，高压线700米(三相电)，新铺设输水水泵一台，管线1000.0m。</t>
  </si>
  <si>
    <t>该项目建成后，将形成公益性资产，产权归罗家沟村集体所有，管护人为自然村村长；巩固提升范家梁自然村安全饮水成果，改善生活生产条件，实现安全饮水有保障，受益农户43户126人，其中脱贫户1户1人。</t>
  </si>
  <si>
    <t>2025年木瓜镇柳沟行政村桃阴梁组巩固提升供水工程</t>
  </si>
  <si>
    <t>在桃阴梁自然村新建一个井深30米，口径1.2米的人饮水井，新建一个50立方米的高位水池，并配套2寸PE上下管道400米，380低压线路400m。</t>
  </si>
  <si>
    <t>该项目建成后，将形成公益性资产，产权归常塔村集体经济联合社所有，由集体自主管护该项目产权归集体所有，能有效巩固提升安全饮水成果，实现安全饮水有保障。受益农户36户98人，受益脱贫户1户1人。</t>
  </si>
  <si>
    <t>2025年田家寨镇兴旺庄村王胡峁巩固提升供水工程</t>
  </si>
  <si>
    <t>新打井一座，井深50米，直径1.2米；人饮管网改造3千米；配套水泵、电线等设施</t>
  </si>
  <si>
    <t>该项目为基础设施项目，形成公益性资产，产权属于兴旺庄村，由兴旺庄村负责管护。有效解决44户110人（其中脱贫户2户5人）饮水存在困难，提高群众满意度。</t>
  </si>
  <si>
    <t>2025年田家寨镇张圪崂村王家畔村巩固提升供水工程</t>
  </si>
  <si>
    <t>张圪崂村王家畔组拟打机井直径1.2米、井深50米，新建高位蓄水池50立方米，输水管1500米，供水管线2500米，安装变压器、电源线1套，新建井房1座，配套水泵等机电设施1套等。</t>
  </si>
  <si>
    <t>该项目为基础设施项目，形成公益性资产，项目资产权属于张圪崂村，由张圪崂村负责人管护。可有效改善76户219人（其中脱贫户8户13人）饮水条件，提高群众满意度。</t>
  </si>
  <si>
    <t>2025年田家寨镇胡家沟村胡家沟组巩固提升供水工程</t>
  </si>
  <si>
    <t>新建直径1.2米，深80米机井两处，两处50方混凝土高位水池，铺设两处DE63PE管上水管线1千米，铺设DE50PE管主供水管线5公里，到户管线5公里，配备检查井60个。配套井房、水泵等机电设施2套。</t>
  </si>
  <si>
    <t>该项目为基础设施项目，形成公益性资产，产权属于胡家沟村，由胡家沟村负责管护。有效解决134户430人（其中脱贫户10户20人，监测户3户8人）饮水存在困难，提高群众满意度。</t>
  </si>
  <si>
    <t>2025年田家寨镇胡家沟村柴家沟组巩固提升供水工程</t>
  </si>
  <si>
    <t>维修水源井，新建50方混凝土高位水池，铺设DE63PE管上水管线1千米。铺设DE50PE管主供水管线1.5公里，到户管线0.8公里，配备检查井20个。配套水泵等机电设施1套。</t>
  </si>
  <si>
    <t>该项目为基础设施项目，形成公益性资产，产权属于胡家沟村，由胡家沟村负责管护。有效解决21户91人（其中脱贫户4户10人）饮水存在困难，提高群众满意度。</t>
  </si>
  <si>
    <t>2025年度武家庄镇高庄则行政村贾家沟组巩固提升供水工程</t>
  </si>
  <si>
    <t>贾家沟自然村新建1眼水井，直径1.2米，深30米；新建50方水塔一座，新铺设输水管路（明敷输水无缝钢管长300.0m，包括水源井内部分；暗敷输水PE管长100.0m）；新铺设供水管路（暗敷主供水PE管长3000.0m，暗敷支供水PE管长2000.0m，暗敷分支供水PE管长4000.0m）；购买小型潜水泵1台及明敷跨沟PE管道300m）；新建阀门井24座；架设380V供电线路300m，配置配电箱1个及3*16mm2铜芯电缆线150m。</t>
  </si>
  <si>
    <t>产权归村集体所有，巩固提升贾家沟自然村安全饮水成果，改善生活生产条件，实现安全饮水有保障，受益农户98户275人，其中脱贫户4户8人。</t>
  </si>
  <si>
    <t>2025年武家庄镇白云乡行政村张家峁组巩固提升供水项目</t>
  </si>
  <si>
    <t>张家峁自然村新建50米深井一座，配200米上水6米无缝钢管35根，1000米63PE管，开挖安装600米下水63PE管，安装200扬程抽水泵、水嘴、立杆水表各1个。</t>
  </si>
  <si>
    <t>白云乡村</t>
  </si>
  <si>
    <t>产权归村集体所有，巩固提升张家峁自然村安全饮水成果，改善生活生产条件，实现安全饮水有保障，受益农户48户119人，其中脱贫户6户7人。</t>
  </si>
  <si>
    <t>2025年武家庄镇沈家峁行政村沈家峁组巩固提升供水工程</t>
  </si>
  <si>
    <t>沈家峁村组需更换水源井到高位水池的上水管道:无缝钢管300米，63PEh管400米。更换水源井到户的下水管道:63PE管1100米，50PE管2400米。更换到户32PE管3500米。主检查井10个，户检查井80套。更换下水阀门3个，主检查井阀门10个。更换水表立杆龙头各80个。更换水泵一台。</t>
  </si>
  <si>
    <t>沈家峁村</t>
  </si>
  <si>
    <t>产权归村集体所有，巩固提升沈家峁自然村安全饮水成果，改善生活生产条件，实现安全饮水有保障，受益农户102户252人。</t>
  </si>
  <si>
    <t>2025年武家庄镇郭家庄则行政村巩固提升供水项目</t>
  </si>
  <si>
    <t>南洼村组需更换水塔到南洼村口的上水管道，50PE管1000米；水塔到武凡荣家的上水管道，50PE管1000米；南洼村到户管道，32PE管2000米。主检查井2套，主检查井阀门20个，更换水表、立杆、龙头各20个。</t>
  </si>
  <si>
    <t>产权归村集体所有，巩固提升南洼自然村安全饮水成果，改善生活生产条件，实现安全饮水有保障，受益农户70户187人，其中脱贫户4户9人。</t>
  </si>
  <si>
    <t>2025年度老高川镇磁尧村拉玛峰组巩固提升供水工程</t>
  </si>
  <si>
    <r>
      <rPr>
        <sz val="14"/>
        <rFont val="仿宋"/>
        <charset val="134"/>
      </rPr>
      <t>接入水务公司黄河水，铺设PE60管道1.5公里，建设30m</t>
    </r>
    <r>
      <rPr>
        <sz val="14"/>
        <rFont val="宋体"/>
        <charset val="134"/>
      </rPr>
      <t>³</t>
    </r>
    <r>
      <rPr>
        <sz val="14"/>
        <rFont val="仿宋"/>
        <charset val="134"/>
      </rPr>
      <t>高位水池2座，增压泵1台，铺设DN50PE管道4600米，DN25PE管道2500米，检查井20座，配套计量系统1套，入户供水其他部件42套。</t>
    </r>
  </si>
  <si>
    <t>该项目产权归村集体所有，能有效巩固提升安全饮水成果，实现安全饮水有保障,改善磁尧村拉玛峰用水问题，提升居民幸福感，受益农户42户214人，受益脱贫户3户7人，保障水资源合理利用。</t>
  </si>
  <si>
    <t>2025年府谷镇碛塄村石堡组人畜饮水巩固提升项目</t>
  </si>
  <si>
    <t>高位水池150立方米，下水管路500米，寸半管200米，配套检查井2个，50阀门2个。</t>
  </si>
  <si>
    <t>受益户166户487人，带动脱贫户2户2人，资产归碛塄村石堡组，巩固提升村内人畜饮水。</t>
  </si>
  <si>
    <t>2025年府谷镇贺家畔村贺家畔组人畜饮水巩固提升工程</t>
  </si>
  <si>
    <t>更换贺家畔自然村入户人饮管道：2寸PE主管3850米，1寸PE管4920米，新建直径1.2米深1.5米检查井8个。</t>
  </si>
  <si>
    <t>建成后资产属于贺家畔村贺家畔组，受益农户231户661人，受益脱贫户10户20人，巩固提升群众饮水安全。</t>
  </si>
  <si>
    <t>2025年府谷镇贺家畔村西山寨组人畜饮水巩固提升工程</t>
  </si>
  <si>
    <t>人饮主管道铺设，PE管管径3寸，共计3千米，3寸不锈钢耐压钢管300米，新建蓄水池200立方米，配套实施井房30平米，安装扬程260米抽水泵一个。</t>
  </si>
  <si>
    <t>建成后资产属于贺家畔村西山寨组，受益农户169户452人，受益脱贫户16户25人，巩固提升群众饮水安全</t>
  </si>
  <si>
    <t>2025年庙沟门镇化皮沟行政村许家梁自然村巩固提升供水工程</t>
  </si>
  <si>
    <t>化皮沟行政村许家梁自然村供水工程，新建水井1座，（井深60m,井径1.2m）50方高位水池，dn63输水管道3000m,到户管道dn40PE管1500m,水泵1台、200KVA变压器1台、电线2000米。</t>
  </si>
  <si>
    <t>化皮沟村</t>
  </si>
  <si>
    <t>该项目建成后产权归村集体所有，巩固提升许家梁自然村30户85人安全饮水成果，实现安全饮水有保障。</t>
  </si>
  <si>
    <t>2025年孤山镇徐家峁村徐家峁一、二自然村巩固提升供水工程</t>
  </si>
  <si>
    <r>
      <rPr>
        <sz val="14"/>
        <rFont val="仿宋"/>
        <charset val="134"/>
      </rPr>
      <t>该村因现有水源不足，存在季节性缺水，新水源处需新建蓄水池1座（100m</t>
    </r>
    <r>
      <rPr>
        <sz val="14"/>
        <rFont val="宋体"/>
        <charset val="134"/>
        <scheme val="minor"/>
      </rPr>
      <t>³</t>
    </r>
    <r>
      <rPr>
        <sz val="14"/>
        <rFont val="仿宋"/>
        <charset val="134"/>
      </rPr>
      <t>），井房1座，铺设输水管线dn63×5.8PE管1350m、φ57×3.5无缝钢管150m，铺设供水线路PE管3738m，50m3高位水池1座，配套水泵1台，电源控制箱、检查井、水表等。</t>
    </r>
  </si>
  <si>
    <t>徐家峁村</t>
  </si>
  <si>
    <t>项目建设后归村集体所有，巩固提升全村77户222人（其中脱贫户1户3人）饮用水条件，增加群众生活幸福感。</t>
  </si>
  <si>
    <t>2025年庙沟门镇赵五家湾村巩固提升供水工程</t>
  </si>
  <si>
    <t>对原赵五家湾集镇人畜饮水管道进行提升改造，对水源井及机房工程维修，需铺设输水dn63×5.8PE管350m，铺设供水管道11940m（其中dn50×4.6PE管3145m，dn40×3.7PE管1595m，到户dn32×3.0PE管7200m），设检查井104座，安装智能水表243套，安装水泵2台以及配套设施等。</t>
  </si>
  <si>
    <t>该项目建成后产权归村集体所有，巩固提升240户510人（其中脱贫户12户26人）安全饮水成果，实现安全饮水有保障。</t>
  </si>
  <si>
    <t>2025年孤山镇徐家峁村徐家峁第三、四自然村种植基地配套项目</t>
  </si>
  <si>
    <t>徐家峁三、四自然村现有高标准农田种植基地439亩，已建设完成灌溉配套设施，因电力设施不完备，现需更换100千伏安变压器1台。</t>
  </si>
  <si>
    <t>项目建设后归村集体所有，有效促进高标准农田灌溉设备投入生产使用，提升土地产出，带动全村121户335人（其中脱贫户5户8人）增收。</t>
  </si>
  <si>
    <t>2025年黄甫镇冯家会行政村农田灌溉变压器更换项目</t>
  </si>
  <si>
    <t>购置80KVA变压器1台，配电柜1个，200比5互感器一组3个，4*35电缆30米，设备线夹7个。</t>
  </si>
  <si>
    <t>该项目为产业配套设施项目，形成公益性资产，产权归村集体所有，由村集体负责人负责管护。解决前会一村、前会二村、前会三村农业灌溉问题，促进农作物稳产增产。受益农户205户579人，其中脱贫户6户13人。</t>
  </si>
  <si>
    <t>2025年武家庄镇川头行政村挡墙建设项目</t>
  </si>
  <si>
    <t>新建前川头、后川头、杨家峁挡墙共280米，高2.2米，宽30公分。</t>
  </si>
  <si>
    <t>加强道路安全防护，保障172户村民交通出行安全。</t>
  </si>
  <si>
    <t>2025年府谷镇柳林碛村黑山组大棚产业物流中转建设项目</t>
  </si>
  <si>
    <r>
      <rPr>
        <sz val="14"/>
        <rFont val="仿宋"/>
        <charset val="134"/>
      </rPr>
      <t>挖石方11577.06m</t>
    </r>
    <r>
      <rPr>
        <sz val="14"/>
        <rFont val="宋体"/>
        <charset val="134"/>
      </rPr>
      <t>³</t>
    </r>
    <r>
      <rPr>
        <sz val="14"/>
        <rFont val="仿宋"/>
        <charset val="134"/>
      </rPr>
      <t>，土方9218.04m</t>
    </r>
    <r>
      <rPr>
        <sz val="14"/>
        <rFont val="宋体"/>
        <charset val="134"/>
      </rPr>
      <t>³</t>
    </r>
    <r>
      <rPr>
        <sz val="14"/>
        <rFont val="仿宋"/>
        <charset val="134"/>
      </rPr>
      <t>，平整场地9990.06㎡及填充其他配套场地土方1020m</t>
    </r>
    <r>
      <rPr>
        <sz val="14"/>
        <rFont val="宋体"/>
        <charset val="134"/>
      </rPr>
      <t>³</t>
    </r>
    <r>
      <rPr>
        <sz val="14"/>
        <rFont val="仿宋"/>
        <charset val="134"/>
      </rPr>
      <t>，铺设100规格PE供水管道600米，铺设供电线路500米。</t>
    </r>
  </si>
  <si>
    <t>项目建成后所有权为黑山组，利用西村口场地平整、硬化，一方面改善西村口村容村貌，另一方面利用空地为来产业园采摘及附近五一煤矿附近大车提供临时停车场，及出租地段，每年预计增加村集体收入30万，受益农户136户386人，受益脱贫户3户7人。</t>
  </si>
  <si>
    <t>2025年木瓜镇前梁村阳坡自然村公厕及污水收集排放项目</t>
  </si>
  <si>
    <t>在阳坡超市新建公厕一座，设置卫生间两件间（3男2女），配套供暖、给排水系统，20方化粪池一个；新建污水收集、排放系统，包括50方玻璃污水收集池1个，110PVC管300米。</t>
  </si>
  <si>
    <t>该项目用于2024年市级示范村建设，产权归集体所有。可改善公共区域人居环境，解决农超污水随意倾倒问题，给常住户及游客提供便利，改善村民居住环境。预计有63户176人受益，其中脱贫户1户1人。</t>
  </si>
  <si>
    <t>2025年度老高川镇老高川村前老高川组公共水冲厕所项目</t>
  </si>
  <si>
    <t>老高川村前老高川组新建公共水冲厕所一座，6坑位。</t>
  </si>
  <si>
    <t>该项目产权归村集体所有，项目建成后，能保障群众与学生出行便利性，方便日常如厕，全村受益487户1467人，其中脱贫户11户23人，提高群众幸福感。</t>
  </si>
  <si>
    <t>2025年府谷镇温李河村水地湾组污水管网接入项目</t>
  </si>
  <si>
    <t>管网长600米（30波纹管）。</t>
  </si>
  <si>
    <t>建成后资产属于温李河村水地湾组，受益群众81户224人，提升村内人居环境。</t>
  </si>
  <si>
    <t>2025年府谷镇柳林碛村黑山组地沟建设项目</t>
  </si>
  <si>
    <t>地沟总长395m，雨水井10个，切石砼593平方米，砼块外运593平方米，土方开挖与外运474立方米，土方回填压实379.2立方米，D40钢带玻纹管长395m，.砼路面106.6立方米，幸福院实内上水与污水，切砼粉790m。</t>
  </si>
  <si>
    <t>项目建成后所有权为黑山组，受益农户136户386人，受益脱贫户3户7人，可以极大改善村内人居环境。</t>
  </si>
  <si>
    <t>2025年三道沟镇经玉则墕村人居环境整治项目</t>
  </si>
  <si>
    <t>在三道沟镇玉则墕村11个自然村新建：砖混结构垃圾屋5个（长7m、宽4m、高3.5m）。</t>
  </si>
  <si>
    <t>玉则墕村</t>
  </si>
  <si>
    <t>该项目建成后产权归村集体所有，通过新建垃圾池，提高人居环境，惠及村民434户，1227人，其中脱贫户7户15人。</t>
  </si>
  <si>
    <t>2025年黄甫镇冯家会行政村人居环境整治项目</t>
  </si>
  <si>
    <t>购置大型垃圾箱（3方勾臂箱：2050mm*1450mm*1000mm）30个。</t>
  </si>
  <si>
    <t>产权归村集体所有，通过实施人居环境整治项目，收集和处理村民的生活垃圾，有效改善村庄的整体卫生状况。受益农户328户1145人，其中脱贫户18户40人，监测户1户4人。</t>
  </si>
  <si>
    <t>2025年黄甫镇墙头行政村农村垃圾治理项目</t>
  </si>
  <si>
    <t>购置大型垃圾箱（3方勾臂箱：2050mm*1450mm*1000mm）20个。</t>
  </si>
  <si>
    <t>产权归村集体所有，有效改善墙头村人居环境，完善村内基础设施，方便群众生活。受益农户320户，790人，其中脱贫户12户23人。</t>
  </si>
  <si>
    <t>2025年黄甫镇尧峁行政村农村垃圾治理项目</t>
  </si>
  <si>
    <t>在尧峁行政村尧峁一村、二村等六个自然村内购置大型垃圾箱（3方勾臂箱：2050mm*1450mm*1000mm）40个。</t>
  </si>
  <si>
    <t>产权归村集体所有，有效改善村内人居环境，完善村内基础设施，方便群众生产、生活，受益农户163户366人，其中脱贫户23户61人。</t>
  </si>
  <si>
    <t>2025年新民镇新城川人居环境整治项目</t>
  </si>
  <si>
    <t>计划在新城川上村维修石墙（长11米，高4.5米），排水渠补铺楼板20块（2.4米10块，1.4米10块），路灯8盏；新城川下村硬化道路123.8米（宽2.8米，厚18公分），新修红砖挡墙长27.6米，高1.5米，路灯8盏；暗峁则村补修道路长100米（宽5.8米，厚18公分），水渠两侧新建挡墙137米（高5米），硬化面积141平米（厚20公分），路灯20盏。</t>
  </si>
  <si>
    <t>新城川村</t>
  </si>
  <si>
    <t>该项目产权归集体所有，可改善村内人居环境和出行条件，提升群众幸福感。受益农户152户412人，其中脱贫户3户3人。</t>
  </si>
  <si>
    <t>2025年清水镇古沟村人居环境整治项目</t>
  </si>
  <si>
    <t>红塔、二里畔村内道路砖铺硬化，长度1300米，宽度3米。在古沟村边前湾组、圪堵等7个自然村安装太阳能路，针对村内80户常住户安装太阳能路灯80盏（6米灯杆高、18V/100W太阳能板）。</t>
  </si>
  <si>
    <t>项目建成后，产权归集体所有，村内道路实现硬化、亮化，80户常住户153人，脱贫户4户6人受益，实现出行方便，以及夜间出行安全，人居环境整治成果得到提升。</t>
  </si>
  <si>
    <t>2025年清水镇王大庄村人居环境整治项目</t>
  </si>
  <si>
    <t>王大庄行政村7个自然村村内道路砖铺硬化（长2900米、宽3米，厚度0.12米），村组道路安装190个太阳能路灯（6米灯杆高、18V/100W太阳能板）。</t>
  </si>
  <si>
    <t>该项目为基础设施项目，形成公益性资产，产权归村集体经济，由村集体经济负责人负责管护。项目建成后，方便农民生活生产出行。提升群众幸福感。受益群众316户827人，其中脱贫户（含监测户）18户39人。</t>
  </si>
  <si>
    <t>2025年木瓜镇前梁村小沟则、桃树梁自然村人居环境综合整治项目</t>
  </si>
  <si>
    <t>拆除破旧厕所一座、猪圈一个；整治残垣断壁500平米；沿路砖砌挡墙1.5km，高0.8m。购置太阳能路灯50盏、垃圾桶80个。</t>
  </si>
  <si>
    <t>该项目用于2024年市级示范村建设，产权归集体所有。可改善村内人居环境，给村内独居老人、常住户及游客提供便利，改善村民居住环境。预计有110户290人受益，其中脱贫户1户2人。</t>
  </si>
  <si>
    <t>2025年木瓜镇前梁村阳坡自然村人居环境综合整治项目</t>
  </si>
  <si>
    <t>整治残垣断壁300平米；砖铺村内道路1公里，宽3.5米，厚12公分；沿路砖砌挡墙800米，高0.8m。购置太阳能路灯30盏、垃圾桶55个。</t>
  </si>
  <si>
    <t>该项目用于2024年市级示范村建设，产权归集体所有。可改善村内人居环境，给村内独居老人、常住户及游客提供便利，改善村民居住环境。预计有63户176人受益，其中脱贫户1户1人。</t>
  </si>
  <si>
    <t>2025年三道沟镇新庙村草湾广场周边人居环境整治项目</t>
  </si>
  <si>
    <r>
      <rPr>
        <sz val="14"/>
        <rFont val="仿宋"/>
        <charset val="134"/>
      </rPr>
      <t>在三道沟镇新庙村草湾广场周边挖基坑土方25.6m</t>
    </r>
    <r>
      <rPr>
        <sz val="14"/>
        <rFont val="宋体"/>
        <charset val="134"/>
      </rPr>
      <t>³</t>
    </r>
    <r>
      <rPr>
        <sz val="14"/>
        <rFont val="仿宋"/>
        <charset val="134"/>
      </rPr>
      <t>、砌筑检查井4座、挖沟槽土方53.93m</t>
    </r>
    <r>
      <rPr>
        <sz val="14"/>
        <rFont val="宋体"/>
        <charset val="134"/>
      </rPr>
      <t>³</t>
    </r>
    <r>
      <rPr>
        <sz val="14"/>
        <rFont val="仿宋"/>
        <charset val="134"/>
      </rPr>
      <t>、塑料管道铺设101m、雨水进水井7座、人行道块料铺设1926㎡、挡土砖墙431.5m</t>
    </r>
    <r>
      <rPr>
        <sz val="14"/>
        <rFont val="宋体"/>
        <charset val="134"/>
      </rPr>
      <t>³</t>
    </r>
    <r>
      <rPr>
        <sz val="14"/>
        <rFont val="仿宋"/>
        <charset val="134"/>
      </rPr>
      <t>、墙面抹灰595㎡、挡墙混凝土压顶10.4m</t>
    </r>
    <r>
      <rPr>
        <sz val="14"/>
        <rFont val="宋体"/>
        <charset val="134"/>
      </rPr>
      <t>³</t>
    </r>
    <r>
      <rPr>
        <sz val="14"/>
        <rFont val="仿宋"/>
        <charset val="134"/>
      </rPr>
      <t>、水泥砂浆楼地面23.68㎡等附属设施。</t>
    </r>
  </si>
  <si>
    <t>该项目建成后产权归村集体所有，该项目实施后提升新庙村人居环境，惠及村民503户1419人，其中脱贫户4户8人。</t>
  </si>
  <si>
    <t>2025年三道沟镇新庙村街道周边人居环境整治项目</t>
  </si>
  <si>
    <r>
      <rPr>
        <sz val="14"/>
        <rFont val="仿宋"/>
        <charset val="134"/>
      </rPr>
      <t>在三道沟镇新庙村街道周边拆除路面53.8㎡、拆除院墙8.23m</t>
    </r>
    <r>
      <rPr>
        <sz val="14"/>
        <rFont val="宋体"/>
        <charset val="134"/>
      </rPr>
      <t>³</t>
    </r>
    <r>
      <rPr>
        <sz val="14"/>
        <rFont val="仿宋"/>
        <charset val="134"/>
      </rPr>
      <t>、水泥混凝土240.24㎡、拆除砖石楼梯4个、钢梯4.08吨、金属扶手带栏杆栏板66m、钢管柱0.194吨、铺设通讯管640m、现浇混凝土盖板6.12m</t>
    </r>
    <r>
      <rPr>
        <sz val="14"/>
        <rFont val="宋体"/>
        <charset val="134"/>
      </rPr>
      <t>³</t>
    </r>
    <r>
      <rPr>
        <sz val="14"/>
        <rFont val="仿宋"/>
        <charset val="134"/>
      </rPr>
      <t>、60m</t>
    </r>
    <r>
      <rPr>
        <sz val="14"/>
        <rFont val="宋体"/>
        <charset val="134"/>
      </rPr>
      <t>³</t>
    </r>
    <r>
      <rPr>
        <sz val="14"/>
        <rFont val="仿宋"/>
        <charset val="134"/>
      </rPr>
      <t>成品化粪池1个、砖筑检查井4座、实心砖墙82.3m</t>
    </r>
    <r>
      <rPr>
        <sz val="14"/>
        <rFont val="宋体"/>
        <charset val="134"/>
      </rPr>
      <t>³</t>
    </r>
    <r>
      <rPr>
        <sz val="14"/>
        <rFont val="仿宋"/>
        <charset val="134"/>
      </rPr>
      <t>、人行道块料铺设458.78㎡、水泥道牙310m等附属设施。</t>
    </r>
  </si>
  <si>
    <t>2025年三道沟镇新庙村砖铺路及挡土墙项目</t>
  </si>
  <si>
    <r>
      <rPr>
        <sz val="14"/>
        <rFont val="仿宋"/>
        <charset val="134"/>
      </rPr>
      <t>在三道沟镇新庙村新建砖基础83.05m</t>
    </r>
    <r>
      <rPr>
        <sz val="14"/>
        <rFont val="宋体"/>
        <charset val="134"/>
      </rPr>
      <t>³</t>
    </r>
    <r>
      <rPr>
        <sz val="14"/>
        <rFont val="仿宋"/>
        <charset val="134"/>
      </rPr>
      <t>、挡土砖墙471.6m</t>
    </r>
    <r>
      <rPr>
        <sz val="14"/>
        <rFont val="宋体"/>
        <charset val="134"/>
      </rPr>
      <t>³</t>
    </r>
    <r>
      <rPr>
        <sz val="14"/>
        <rFont val="仿宋"/>
        <charset val="134"/>
      </rPr>
      <t>、实心砖柱30.51m</t>
    </r>
    <r>
      <rPr>
        <sz val="14"/>
        <rFont val="宋体"/>
        <charset val="134"/>
      </rPr>
      <t>³</t>
    </r>
    <r>
      <rPr>
        <sz val="14"/>
        <rFont val="仿宋"/>
        <charset val="134"/>
      </rPr>
      <t>、人行道块料铺设1305㎡等附属实施。</t>
    </r>
  </si>
  <si>
    <t>2025年三道沟镇新庙村新庙自然村岔路口至口则自然村人居环境整治项目</t>
  </si>
  <si>
    <r>
      <rPr>
        <sz val="14"/>
        <rFont val="仿宋"/>
        <charset val="134"/>
      </rPr>
      <t>在三道沟镇新庙村新庙自然村、口则自然村、村口安装太阳能圆球灯800套（直径25cm、高32cm、25瓦）、挡土砖墙348.12m</t>
    </r>
    <r>
      <rPr>
        <sz val="14"/>
        <rFont val="宋体"/>
        <charset val="134"/>
      </rPr>
      <t>³</t>
    </r>
    <r>
      <rPr>
        <sz val="14"/>
        <rFont val="仿宋"/>
        <charset val="134"/>
      </rPr>
      <t>、现浇混凝土板20.4m</t>
    </r>
    <r>
      <rPr>
        <sz val="14"/>
        <rFont val="宋体"/>
        <charset val="134"/>
      </rPr>
      <t>³</t>
    </r>
    <r>
      <rPr>
        <sz val="14"/>
        <rFont val="仿宋"/>
        <charset val="134"/>
      </rPr>
      <t>、嵌草砖铺路2175㎡等附属设施。</t>
    </r>
  </si>
  <si>
    <t>2025年度古城镇五道河村人居环境整治提升项目</t>
  </si>
  <si>
    <t>在史圪塄、四道河、五道河、绳匠沟、袁圪塄等自然村实施人居环境整治提升，主要包括各自然村道路两侧基本绿化，道路两侧挡土护坡治理，采用蓝砖二四墙，砖墙长约2650米、高约1米，整治房前屋后卫生，整治路面塌方200米等。</t>
  </si>
  <si>
    <t>项目建成后归集体所有，可有效改善群众生产生活条件，优化发展环境，保障农户437户1034人的出行安全（其中脱贫户和监测户15户18人）；改善村民出行条件，提升人居环境和群众满意度。</t>
  </si>
  <si>
    <t>2025年度孤山镇南关村北门焉自然村人居环境改造提升项目</t>
  </si>
  <si>
    <t>砖铺硬化村内道路长1000米，宽2.5米，厚0.12米。</t>
  </si>
  <si>
    <t>南关村</t>
  </si>
  <si>
    <t>项目建设后归村集体所有，改善提升全村38户79人（其中脱贫户3户6人）人居环境条件，增加群众生活幸福感。</t>
  </si>
  <si>
    <t>2025年度孤山镇南关村高家湾第二自然村人居环境改造提升项目</t>
  </si>
  <si>
    <t>村内放置手推垃圾车34个，大垃圾箱6个，新建围墙1000米，道路两侧进行彻底卫生清理约2000米，砖石围栏500米。</t>
  </si>
  <si>
    <t>项目建设后归村集体所有，改善提升全村70户192人（其中脱贫户1户5人）人居环境条件，增加群众生活幸福感。</t>
  </si>
  <si>
    <t>2025年度孤山镇徐家峁村尚庄第四自然村村容村貌提升改造项目</t>
  </si>
  <si>
    <t>砖铺硬化村内道路长200米，厚0.12米，宽3米。</t>
  </si>
  <si>
    <t>产权归村集体所有，完善村民出行条件，改善村人居环境，项目建成后，共受益农户44户120人。</t>
  </si>
  <si>
    <t>2025年孤山镇李家洼村第四自然村至西庄自然村人居环境改造提升项目</t>
  </si>
  <si>
    <t>为村内现有道路配套安装高6米太阳能路灯170盏，同时整治道路两侧沿路环境卫生约1200米，建砖石围栏2公里，放置垃圾箱30个。</t>
  </si>
  <si>
    <t>产权归村集体所有，完善村民出行条件，改善村人居环境，项目建成后，共受益农户86户211人（其中脱贫户4户9人）。</t>
  </si>
  <si>
    <t>2025年度老高川镇老高川村后老高川组村容村貌提升改造项目</t>
  </si>
  <si>
    <t>后老高川组居民区背后水泥硬化场地厚度20CM，面积约900平方米，绿化面积约1100平方米，种植树径10CM垂柳30棵，草坪约1050平方米，配套6米A字臂太阳能路灯16盏，健身器材10个。</t>
  </si>
  <si>
    <t>该项目产权归村集体所有，项目建成后，为村民提供基础休闲健身场所，改善村容村貌，方便村民夜间出行，村民满意度≥95%，全村受益487户1467人，其中脱贫户10户22人，提高群众幸福感。</t>
  </si>
  <si>
    <t>2025年庙沟门镇石峡梁村人居环境提升整治项目</t>
  </si>
  <si>
    <t>计划在万家梁组水泥硬化村内道路0.25km，路宽4米，厚0.18米，道路两旁安装单头6米高太阳能路灯15盏。</t>
  </si>
  <si>
    <t>该项目建成后产权归村集体所有，能美化群众生活环境，为43户117人出行提供方便；改善43户117人的夜间出行照明条件，保障夜间出行安全。</t>
  </si>
  <si>
    <t>2025年度庙沟门镇粉房沟村人居环境提升整治项目</t>
  </si>
  <si>
    <t>计划在交稍梁组硬化村内道路0.6km，路宽4米，厚0.18米，道路旁安装单头6米高太阳能路灯（18V/100W太阳能板）15盏。</t>
  </si>
  <si>
    <t>粉房沟村</t>
  </si>
  <si>
    <t>该项目建成后产权归村集体所有，方便村内常住的8户15人出行，改善村民人居环境条件，保障夜间出行安全。</t>
  </si>
  <si>
    <t>2025年哈镇哈镇村新农村提升改造项目</t>
  </si>
  <si>
    <t>在哈镇村新农村拆除旧路缘石并更换新路缘石2300米，补修人行道，铺设透水砖1800平方米，对新农村道路两边进行全面整治，清理破旧建筑物、修缮受损墙体3510平米，补修混凝土路面4800平米。</t>
  </si>
  <si>
    <t>该项目建成后，将形成公益性资产，且资产产权归村集体所有，由村集体自主运营管护，项目建成后进一步提升哈镇村村容村貌，有助于巩固千万工程示范村村创建成果，受益农户617户1498人，其中脱贫户及监测对象52户85人。</t>
  </si>
  <si>
    <t>2025年黄甫镇黄甫行政村人居环境整治项目</t>
  </si>
  <si>
    <t>对黄甫村内的残垣断壁200米、二道街环境以及集镇道路200米进行全面整治，清理破旧建筑物、修缮受损墙体，街道环境清理150米等。</t>
  </si>
  <si>
    <t>通过实施人居环境整治项目，进一步完善村庄公共服务设施，有效提高集镇公共服务水平、提升村容村貌、改善人居环境，切实提高群众生活幸福感，助力宜居宜业和美乡村建设。受益农户563户1291人，其中脱贫户6户8人，监测户1户2人。</t>
  </si>
  <si>
    <t>2025年黄甫镇埝墕村人居环境整治项目</t>
  </si>
  <si>
    <t>在埝墕村6个自然村实施人居环境整治，实施路域人居环境整治建设高0.8米挡土墙，墙体长4000米。</t>
  </si>
  <si>
    <t>埝墕村</t>
  </si>
  <si>
    <t>项目产权归村集体所有，有效提升村容村貌、改善人居环境，切实提高群众生活幸福感，助力宜居宜业和美乡村建设。受益总人数224户614人，其中脱贫户24户56人。</t>
  </si>
  <si>
    <t>2025年府谷镇刘家沟村人居环境整治项目</t>
  </si>
  <si>
    <t>刘家沟一村二村道路两侧建设挡土24砖墙1200米（1米），水泥硬化600平米（15公分）。</t>
  </si>
  <si>
    <t>建成后资产归刘家沟村，受益农户342户845人，受益脱贫户16户25人，易返贫致贫户1户1人，可以改善村内人居环境。</t>
  </si>
  <si>
    <t>2025年府谷镇柳洼村人居环境整治项目</t>
  </si>
  <si>
    <t>村内道路硬化366米宽3米厚15厘米水泥混凝土路面，道路两侧设置240砖墙650米高度1.5米，排水沟80米；各自然村配套大型勾壁式垃圾箱18个，240升垃圾桶80个，手推铁质环卫垃圾车80个，太阳能路灯80盏，6米高。</t>
  </si>
  <si>
    <t>建成后资产属于柳洼村，受益农户447户1312人，受益脱贫户30户57人，可以极大改善村内人居环境。</t>
  </si>
  <si>
    <t>2025年府谷镇石马川村人居环境整治项目</t>
  </si>
  <si>
    <t>村内砖挡墙（24墙，1000米，1.5米高），硬化120平米（18公分厚），石河堤550米（3.5米高，铺底1.5米，收顶0.6米）。</t>
  </si>
  <si>
    <t>建成后资产属于石马川村，受益农户493户1357人，受益脱贫户19户42人，可以改善村内人居环境</t>
  </si>
  <si>
    <t>2025年府谷镇王家洼村人居环境整治项目</t>
  </si>
  <si>
    <t>修复通村主干道塌陷路面100米（6米，18公分厚），新建挡土墙300米约投资35万（24墙1.5米高），革命旧址外墙及窑洞加固修缮，修补300余米石板道路。</t>
  </si>
  <si>
    <t>建成后资产属于王家洼村，受益农户615户1575人，受益脱贫户31户49人，受益监测户1户1人，改善村内整体人居环境。</t>
  </si>
  <si>
    <t>2025年府谷镇碛塄村人居环境整治项目</t>
  </si>
  <si>
    <t xml:space="preserve">立扎砖硬化乡村道路1200米，宽3.5米配套排水；乡村道路安全防撞护栏800米；太阳能路灯12盏（6米高）；
</t>
  </si>
  <si>
    <t>建成后资产属于碛塄村，受益农户187户602人，受益脱贫户及监测户9户17人，可以极大改善村内人居环境。</t>
  </si>
  <si>
    <t>2025年府谷镇柳林碛村玉帝楼广场至五虎山戏台蓝砖挡墙项目</t>
  </si>
  <si>
    <t>玉帝楼广场至五虎山戏台做蓝砖挡墙90m*0.24m*1m;九曲黄河阵北侧做蓝砖墙300m*0.24m*1m。</t>
  </si>
  <si>
    <t>建成后资产归柳林碛自然村，受益农户220户562人，受益脱贫户9户11人，提升人居环境。</t>
  </si>
  <si>
    <t>2025年度庙沟门镇庙沟门村人居环境提升整治项目</t>
  </si>
  <si>
    <t>庙沟门村巷道硬化2778米（其中沙洼村巷道硬化1295米、郝家畔塔前村巷道硬化220米、郝家畔塔后村巷道硬化1053米、庙沟门西村巷道硬化210米），宽3米，厚0.18米，配套单头6米高太阳能路灯150盏。</t>
  </si>
  <si>
    <t>庙沟门村</t>
  </si>
  <si>
    <t>该项目建成后产权归村集体所有，改善全村人居环境，完善村民出行条件</t>
  </si>
  <si>
    <t>2025年新民镇陈庄村人居环境整治工程</t>
  </si>
  <si>
    <t>在陈庄村地界川、陈圪梁等8个自然村合计10公里安装6m高太阳能路灯220盏（松树畔26盏，燕渠33盏，善家峁36盏，地界川59盏，刘家印则16盏，陈圪梁18盏，史家庄15盏，马圈圪崂17盏）。对陈庄、松树畔等9个自然村村容村貌进行整治，需120L铁皮垃圾箱40个（地界川7个，善家峁6个，刘家印则4个，汪庄则4个，陈庄4个，石家庄7个，松树畔3个，马圈圪崂1个，燕渠4个），绿色硬塑分类垃圾桶200个；维修排水沟3500米（朱家梁至陈庄路段排水沟约1500米，陈庄至汪庄则（小桥）路段约2000米）。整治村内断壁残垣500米。修建长500m（其中地界川村180米，善家峁村130米，刘家印子村110米，汪庄则村80米），高60cm，宽度2-4墙24厘米砖砌挡墙。</t>
  </si>
  <si>
    <t>该项目实施后，产权归陈庄村集体经济联合社所有，可改善村内人居环境和出行条件，提升群众幸福感和满意度。受益农户556户1642人，其中脱贫户（监测对象）10户18人。</t>
  </si>
  <si>
    <t>2025年府谷镇沙沟村后沙沟组人居环境整治项目</t>
  </si>
  <si>
    <t>村内水泥硬化糜谷晾晒场2000平米（15公分厚），村内道路硬化420米（宽3.5米，厚18公分），新建公厕1座约30平米（3男2女），排水渠铺口径60公分水泥管220米）。新建挡土石墙130米（打底1.6米，收顶0.8米，高3.5米）</t>
  </si>
  <si>
    <t>建成后资产属于沙沟村后沙沟组，受益农户36户99人，受益脱贫户2户7人，可以提升村内人居环境。</t>
  </si>
  <si>
    <t>2025年府谷镇贺家畔村人居环境整治项目</t>
  </si>
  <si>
    <r>
      <rPr>
        <sz val="14"/>
        <rFont val="仿宋"/>
        <charset val="134"/>
      </rPr>
      <t>在贺家畔村村内约6.5千米道路，安装太阳能路灯100盏（6米高），保障约每40米至少有一盏路灯。水泥硬化贺家畔村主干道到民俗广场道路0.254千米，道路宽3.5米，厚度18公分（砂石路基宽4.5米），配套边沟排水。在村内配备3m</t>
    </r>
    <r>
      <rPr>
        <sz val="14"/>
        <rFont val="宋体"/>
        <charset val="134"/>
      </rPr>
      <t>³</t>
    </r>
    <r>
      <rPr>
        <sz val="14"/>
        <rFont val="仿宋"/>
        <charset val="134"/>
      </rPr>
      <t>大型勾壁式垃圾箱50个；</t>
    </r>
  </si>
  <si>
    <t>资产归贺家畔村，受益农户230户660人，其中脱贫户10户20人，整体提升村内人居环境。</t>
  </si>
  <si>
    <t>2025年府谷镇王家畔村红焉组村口边坡整治项目</t>
  </si>
  <si>
    <t>1、三岔路口处：826.6平米，挖机刷坡整理，铺草坪砖（双八字，400*400*60；蓝砖挡墙：长105米，高：37基础1米，24基础1.5米，共计76.65方。2平台处：505平米，挖机人工整理，铺草坪砖（双八字，400*400*60）；蓝砖挡墙：37基础高1米，24挡墙高1.5米，长36米；50基础高0.5米，24挡墙高1米，长48米，共计49.8方；人行步道：164平米，10cm垫层，铺面包砖，花岗岩道牙石168米，树池40个。</t>
  </si>
  <si>
    <t>建成后资产属于王家畔村红焉组，受益脱贫户50户120人，可以方便村民安全出行，提升村内人居环境</t>
  </si>
  <si>
    <t>2025年府谷县哈镇大岔村人居环境整治项目</t>
  </si>
  <si>
    <t>为大岔村韩家湾组村内道路河槽砖砌排水渠，宽0.9m，长300m，高1m，向下延伸0.8m。</t>
  </si>
  <si>
    <t>该项目为人居环境整治项目，形成公益性资产，产权归大岔村集体所有，由村支书负责管护。项目实施后，可避免水毁道路，受益农户449户1146人，其中脱贫户55户119人。</t>
  </si>
  <si>
    <t>2025年古城镇油房坪村人居环境整治提升工程</t>
  </si>
  <si>
    <t>在油房坪村蔺圪卜、沙坪等自然村安装6米高太阳能路灯100盏。蔺圪卜、沙坪等自然村进行村容村貌整治，主要包括整治村内残垣断壁800米，硬化村内巷道宽3米，长2公里。设立道路挡墙，长100米，高1.2米，蓝砖二四墙，确保土不下山、泥不上路。</t>
  </si>
  <si>
    <t>该项目建成后，将形成公益性资产，产权归油房坪村集体所有，管护人为村支书；该项目实施后，可改善村庄人居环境和群众出行条件，提升群众幸福感和满意度。受益农户284户1160人，其中脱贫户（监测对象）10户20人。</t>
  </si>
  <si>
    <t>2025.4-2025.12</t>
  </si>
  <si>
    <t>2025年度孤山镇沙牛峁村人居环境改造提升项目</t>
  </si>
  <si>
    <t>新建砖砌围墙长1500米、高1.5米，村内道路硬化500米，路灯20盏,村内放置手推垃圾车25个。</t>
  </si>
  <si>
    <t>沙牛峁村</t>
  </si>
  <si>
    <t>项目建设后归村集体所有，进一步提升改善了全村人居环境条件，增进群众生活幸福感。受益农户83户142人，（起其中脱贫户16户25人）</t>
  </si>
  <si>
    <t>2025年黄甫镇尧渠行政村人居环境整治项目</t>
  </si>
  <si>
    <r>
      <rPr>
        <sz val="14"/>
        <rFont val="仿宋"/>
        <charset val="0"/>
      </rPr>
      <t>购置3m</t>
    </r>
    <r>
      <rPr>
        <sz val="14"/>
        <rFont val="宋体"/>
        <charset val="0"/>
      </rPr>
      <t>³</t>
    </r>
    <r>
      <rPr>
        <sz val="14"/>
        <rFont val="仿宋"/>
        <charset val="0"/>
      </rPr>
      <t>铁质大垃圾箱20个，四分类垃圾分类回收设施2个（长3300mm 宽1500mm 高2600mm）。</t>
    </r>
  </si>
  <si>
    <t>该项目为基础设施项目，形成公益性资产，产权归村集体所有，由村集体负责人负责管护。有效改善群众生产生活条件，完善村内基础设施，切实提高村民生活满意度。受益群众372户927人，其中脱贫户23户48人，监测户1户2人。</t>
  </si>
  <si>
    <t>2025年黄甫镇魏寨行政村暖泉寨自然村人居环境综合整治项目</t>
  </si>
  <si>
    <t>在魏寨村暖泉寨自然村安装200瓦高6米太阳能路灯25盏；水泥硬化村内道路长200米、宽3米、厚0.15米。</t>
  </si>
  <si>
    <t>魏寨村</t>
  </si>
  <si>
    <t>该项目为基础设施项目，形成公益性资产，产权归村集体所有，由村集体负责人负责管护。有效改善群众生产生活条件，完善村内基础设施，切实提高村民生活满意度。受益农户81户232人，其中监测户1户1人。</t>
  </si>
  <si>
    <t>2025年度清水镇赵寨村人居环境整治项目</t>
  </si>
  <si>
    <t>陈家畔至赵寨村安装6米杆高太阳能路灯100盏；10米杆高太阳能路灯20盏；赵寨村内道路混凝土硬化1.6千米、宽3米、厚15厘米。</t>
  </si>
  <si>
    <t>赵寨村</t>
  </si>
  <si>
    <t>项目建成后，产权归村集体，使村容村貌显著提升、推动全镇人居环境及乡风文明提档升级，受益群众452户2000人，脱贫户（含监测户）15户30人</t>
  </si>
  <si>
    <t>2025年度孤山镇沙坬村塘坊焉自然村人居环境改造提升项目</t>
  </si>
  <si>
    <t>新建塘坊焉村内砖铺道路3.6公里，宽2.5米，厚12厘米。</t>
  </si>
  <si>
    <t>产权归村集体所有，完善村民出行条件，改善村人居环境，项目建成后，共受益农户49户124人，其中脱贫户2户3人。</t>
  </si>
  <si>
    <t>2025年度清水镇枣林峁村人居环境整治项目</t>
  </si>
  <si>
    <t>现村内道路为土路，计划硬化村内道路2600米，其中水泥路硬化1450米，2.5米宽、15公分厚；红砖立铺硬化1150米，宽2.5米，砖砌挡墙300米，高度6米的太阳能路灯50盏，放置5个垃圾箱（2.07×1.45×1米）等。</t>
  </si>
  <si>
    <t>产权归集体所有，改善村民生产生活出行，提高村民生活幸福感，受益群众101户257人，其中脱贫户（监测户）7户16人。</t>
  </si>
  <si>
    <t>2025年老高川镇李家石畔村人居环境整治项目</t>
  </si>
  <si>
    <r>
      <rPr>
        <sz val="14"/>
        <rFont val="仿宋"/>
        <charset val="134"/>
      </rPr>
      <t>1.李家石畔村人居环境整治：道路全长8千米，在李家石畔村孙家梁组、戈家梁组、中圐圙组、李家石畔组、硬地焉组、大榆树梁组6个自然村安装6米高200瓦A字臂路灯120盏，提高群众夜间出行便利性；配置3m</t>
    </r>
    <r>
      <rPr>
        <sz val="14"/>
        <rFont val="宋体"/>
        <charset val="134"/>
      </rPr>
      <t>³</t>
    </r>
    <r>
      <rPr>
        <sz val="14"/>
        <rFont val="仿宋"/>
        <charset val="134"/>
      </rPr>
      <t>小号铁皮垃圾桶80个，5m</t>
    </r>
    <r>
      <rPr>
        <sz val="14"/>
        <rFont val="宋体"/>
        <charset val="134"/>
      </rPr>
      <t>³</t>
    </r>
    <r>
      <rPr>
        <sz val="14"/>
        <rFont val="仿宋"/>
        <charset val="134"/>
      </rPr>
      <t>大号铁垃圾箱30个；在硬地焉村新建一座6坑位公共水冲厕所。
2.新建100立方米生活污水收集池：主体设计容积为100立方米的矩形水池，为覆顶式封闭水池。项目平整场地面积为65平方米，素土挖方为120立方米，蓄水池底部及四壁为钢筋混凝土浇筑体，平均厚度为35cm，使用Φ8-Φ12钢筋作为现浇混凝土结构用料，用量约为11吨，现浇混凝土使用C30成品商砼，用量约为35立方米，垫层计划使用C15商砼，用量约为6立方米，水池防水层为SBS卷材防水，水池附属设施包含爬梯、检修口、溢水井、水位仪、粗过滤器、进出水管及阀件等。</t>
    </r>
  </si>
  <si>
    <t>李家石畔村</t>
  </si>
  <si>
    <t>项目建成后所有权为李家石畔村，可以进一步改善村容村貌，提高雨水、污水利用率，优化人居环境，提升居民生活幸福感，受益农户718户2098人，受益脱贫户23户41人。</t>
  </si>
  <si>
    <t>2025年清水镇青春峁村人居环境整治项目</t>
  </si>
  <si>
    <t>青春峁徐庄、柏树圪垯、新尧、南坪、西山墩、堡则、畔沟村配置220盏太阳能路灯（6米灯杆高、18V/100W太阳能板）。</t>
  </si>
  <si>
    <t>青春峁村</t>
  </si>
  <si>
    <t>产权归集体所有，改善村民生活生产出行，提升村民幸福感，受益群众298户835人，其中脱贫户9户18人。</t>
  </si>
  <si>
    <t>2025年度清水镇沙尧则行政村柏林店组人居环境整治项目</t>
  </si>
  <si>
    <t>柏林店至浪湾处通村路3千米，需每40米安装6米高路灯一盏，共75盏：全村每户家门口安装6米高路灯一盏，共42盏：总需路灯117盏，每盏2200元，共需25.74万元。</t>
  </si>
  <si>
    <t>沙尧则村</t>
  </si>
  <si>
    <t>产权归集体所有，项目建成后出行有保障，预计农户有42户240人可受益，其中脱贫户7户8人。</t>
  </si>
  <si>
    <t>2025年木瓜镇前梁行政村安装路灯项目</t>
  </si>
  <si>
    <t>对前梁村的白家焉、南庄、红湾、董家沟村村内住户居住区安装路灯300盏。</t>
  </si>
  <si>
    <t>该项目产权归集体所有。可改善村内人居环境，给村内独居老人、常住户及游客提供便利，改善村民居住环境。预计有279户955人受益，其中脱贫户42户48人。</t>
  </si>
  <si>
    <t>2025年三道沟镇三道沟村太阳能路灯建设项目</t>
  </si>
  <si>
    <t>在三道沟镇三道沟村安装高6m、100瓦太阳能路灯150盏。</t>
  </si>
  <si>
    <t>该项目建成后产权归村集体所有，通过安装路灯，美化亮化村庄，方便村民出行，惠及村民427户，1044人，其中脱贫户7户14人。</t>
  </si>
  <si>
    <t>2025年度古城镇沙圪坨村路灯安装项目</t>
  </si>
  <si>
    <t>在沙圪坨村杜家梁组、沙圪坨组人口聚集地安装路灯40盏，路灯规格为6米高、单头70瓦。</t>
  </si>
  <si>
    <t>项目建成后归村集体所有；改善了村民出行条件，受益群众612户1439人，其中脱贫户（含监测户）21户30人，切实提高群众的归属感与满意度。</t>
  </si>
  <si>
    <t>2025年孤山镇沙坬村沙洼自然村、唐坊焉自然村路灯安装项目</t>
  </si>
  <si>
    <t>村内主要通行道路安装太阳能路灯70盏，高6米。</t>
  </si>
  <si>
    <t>产权归村集体所有，完善村民出行条件，改善村人居环境，项目建成后，共受益农户156户404人（其中脱贫户4户6人）。</t>
  </si>
  <si>
    <t>2025年老高川镇枇杷沟村南梁移民新村路灯工程项目</t>
  </si>
  <si>
    <t>南梁移民新村安装6米高路灯50盏，提高群众夜间出行便利性。</t>
  </si>
  <si>
    <t>枇杷沟村</t>
  </si>
  <si>
    <t>该项目产权归村集体所有，项目建成后，方便群众夜间出行，提升村民幸福指数与安全指数，全村受益39户196人，5户5人，村民满意度≥98%。</t>
  </si>
  <si>
    <t>2025年老高川镇枇杷沟村阳山移民新村路灯工程项目</t>
  </si>
  <si>
    <t>阳山移民新村安装6米高路灯50盏，提高群众夜间出行便利性。</t>
  </si>
  <si>
    <t>该项目产权归村集体所有，项目建成后，方便群众夜间出行，提升村民幸福指数与安全指数，全村受益33户138人，其中脱贫户2户4人，村民满意度≥98%。</t>
  </si>
  <si>
    <t>2025年度老高川镇老高川村人居环境改善路灯工程项目</t>
  </si>
  <si>
    <t>为老高川村石岩畔组常住农户（20盏）、赵峁梁组50盏）、神木伙盘组常住农户（23盏）、齐家焉组（36盏）、大树塔常住农户（30盏）,5个自然村安装共计159盏6米A字臂太阳能路灯。</t>
  </si>
  <si>
    <t>该项目产权归村集体所有，项目建成后，能够保障村内群众夜间出行安全，全村受益200户598人，其中脱贫户4户9人，不断提高其认可度、满意度。</t>
  </si>
  <si>
    <t>2025年度老高川镇丁家伙盘村人居环境改善路灯工程项目</t>
  </si>
  <si>
    <t>为丁家伙盘村东梁组（45盏）、下梁组（6盏），2个自然村安装共计51盏6米A字臂太阳能路灯。</t>
  </si>
  <si>
    <t>丁家伙盘村</t>
  </si>
  <si>
    <t>该项目产权归村集体所有，项目建成后，能够保障村内群众夜间出行安全，全村受益56户180人，不断提高其认可度、满意度。</t>
  </si>
  <si>
    <t>2025年老高川镇枇杷沟行政村达则梁自然村村组道路路灯工程</t>
  </si>
  <si>
    <t>道路全长2千米，安装6米高200瓦A字臂路灯30盏，提高群众夜间出行便利性。</t>
  </si>
  <si>
    <t>该项目产权归村集体所有，项目建成后，能够有效解决达则梁自然村照明问题，提升全村安全指数，全村受益29户74人，其中脱贫户2户2人，提高群众幸福感。</t>
  </si>
  <si>
    <t>2025年田家寨镇东沟村路灯工程</t>
  </si>
  <si>
    <t>在关地组、瓦尧条组、小教厂组安装6米杆高太阳能路灯154盏。</t>
  </si>
  <si>
    <t>该项目为基础设施项目，形成公益性资产，项目建成后产权属于东沟村，由东沟村负责资产管护运营。能极大地改善人居环境，同时方便群众出行，提高生产生活质量，提升群众幸福感。带动脱贫户16户35人（含监测户），受益农户370户1041人。</t>
  </si>
  <si>
    <t>2025年田家寨镇胡家沟村路灯工程</t>
  </si>
  <si>
    <t>在胡家焉组、柴家沟组、上阳庄组、后庄则组安装6米杆高太阳能路灯160盏。</t>
  </si>
  <si>
    <t>该项目属于基础设施项目，形成公益性资产。项目建成后产权属于胡家沟村，由胡家沟村负责资产管护。带动脱贫户13户29人（含监测户），受益农户143户408人，方便群众夜间出行，改善人居环境，为夜间农业生产行动提供照明条件。</t>
  </si>
  <si>
    <t>2025年田家寨镇南门村陈西洼组路灯工程</t>
  </si>
  <si>
    <t>安装6米高太阳能路灯50盏。</t>
  </si>
  <si>
    <t>该项目为基础设施项目，形成公益性资产，项目建成后产权归南门村，由南门村负责人负责管护。可改善人居环境，美化乡村环境，带动脱贫户3户6人（含监测户），受益农户39户103人，方便村民晚上活动，给村民提供便利。</t>
  </si>
  <si>
    <t>2025年田家寨镇水口村老庄沟组、庙峁组、寨峁组路灯工程</t>
  </si>
  <si>
    <t>安装6米杆高太阳能路灯64盏。</t>
  </si>
  <si>
    <t>该项目为基础设施项目，形成公益性资产，项目建成后产权属于水口村，由水口负责后期资产管护。路灯工程可进一步美化乡村环境，带动脱贫户2户2人（含监测户），受益农户87户263人，方便村民晚上活动，给村民提供便利，提高群众幸福指数。</t>
  </si>
  <si>
    <t>2025年田家寨镇张圪崂村路灯工程</t>
  </si>
  <si>
    <t>安装6米杆高太阳能路灯20盏，其中郝家庄组路灯10盏，冯庄则组路灯10盏。</t>
  </si>
  <si>
    <t>该项目为基础设施项目，形成公益性资产，产权属于张圪崂村，由张圪崂村负责人负责管护。项目建成后能极大地改善人居环境，带动脱贫户4户9人（含监测户），受益农户74户210人，同时方便群众出行，提高生产生活质量，提升群众幸福感。</t>
  </si>
  <si>
    <t>2025年田家寨镇刘家畔村武渠组、杨崖尧组路灯工程</t>
  </si>
  <si>
    <t>在武渠组和杨崖尧组各安装100盏6米杆高太阳能路灯，总计200盏。</t>
  </si>
  <si>
    <t>该项目为基础设施项目，形成公益性资产，产权属于刘家畔村，由刘家畔村负责人管护。该项目建成后可改善杨崖尧村和武渠村两个村320户410人（其中脱贫户12户23人）的亮化基础实施及人居环境。</t>
  </si>
  <si>
    <t>2025年田家寨镇兴旺庄村王胡峁组路灯工程</t>
  </si>
  <si>
    <t>在王胡峁组安装6米杆高太阳能路灯30盏。</t>
  </si>
  <si>
    <t>该项目为基础设施项目，形成公益性资产，项目建成后产权属于兴旺庄村，由兴旺庄村负责资产管护运营。美化乡村环境，带动脱贫户10户27人（含监测户），受益农户151户410人，方便村民晚上活动，给村民提供便利。</t>
  </si>
  <si>
    <t>2025年田家寨镇兴旺庄村田家寨组路灯工程</t>
  </si>
  <si>
    <t>在田家寨组安装6米杆高太阳能路灯30盏。</t>
  </si>
  <si>
    <t>该项目为基础设施项目，形成公益性资产，项目建成后产权属于兴旺庄村，由兴旺庄村负责资产管护运营。美化乡村环境，带动脱贫户3户9人（含监测户），受益农户65户178人，方便村民晚上活动，给村民提供便利。</t>
  </si>
  <si>
    <t>2025年田家寨镇兴旺庄村庄果渠组、张石畔组路灯工程</t>
  </si>
  <si>
    <t>在庄果渠、张石畔组安装6米杆高太阳能路灯50盏。</t>
  </si>
  <si>
    <t>该项目为基础设施项目，形成公益性资产，项目建成后产权属于兴旺庄村，由兴旺庄村负责资产管护运营。美化乡村环境，带动脱贫户9户15人（含监测户），受益农户99户265人，方便村民晚上活动，给村民提供便利。</t>
  </si>
  <si>
    <t>2025年田家寨镇兴旺庄村路灯工程</t>
  </si>
  <si>
    <t>在碑好湾组、祁家畔组安装太阳能路灯80盏。（规格型号为灯杆高6米，80AH锂电池,灯为80wLED光源，太阳能面板功率100W）。</t>
  </si>
  <si>
    <t>该项目为基础设施项目，形成公益性资产，项目建成后产权属于兴旺庄村，由兴旺庄村负责管护。有效提高105户297人（其中脱贫户10户29人）出行条件，改善村内居住环境，提高群众满意度。</t>
  </si>
  <si>
    <t>2025年田家寨镇王沙峁村路灯工程</t>
  </si>
  <si>
    <t>在柏家焉组安装20盏，寨山组安装20盏，来安寨组安装30盏，房塔组安装30盏，武进则组安装20盏。（规格型号为灯杆高6米，80AH锂电池,灯为80wLED光源，太阳能面板功率100W）。</t>
  </si>
  <si>
    <t>该项目为基础设施项目，形成公益性资产，项目建成后产权属于王沙峁村，由王沙峁村负责人管护。可有效解决396户1046人（其中脱贫户31户80人）夜间出行难问题，提高人民群众满意度，改善提升人居环境质量。</t>
  </si>
  <si>
    <t>2025年武家庄镇川头行政村前后川头路灯安装项目</t>
  </si>
  <si>
    <t>前后川头太阳能路灯安装需求75盏，路灯成本2500元/盏，总计18.75万元。</t>
  </si>
  <si>
    <t>道路亮化提升村容村貌，保障125户村民夜间出行安全，为村民以及其中3户脱贫户生活提供生产生活便利。</t>
  </si>
  <si>
    <t>2025年武家庄镇川头行政村杨家峁组路灯安装项目</t>
  </si>
  <si>
    <t>杨家峁村太阳能路灯安装需求10盏，路灯成本2500元/盏，总计2.5万元。</t>
  </si>
  <si>
    <t>提升村容村貌，保障47户村民夜间出行安全，为村民生活提供生产生活便利，提升生活质量，。</t>
  </si>
  <si>
    <t>2025年武家庄镇白家峁行政村舍科、段家洼、段大圪塔组路灯安装项目</t>
  </si>
  <si>
    <t>舍科、段家洼、段大圪塔自然村安装路灯110盏，路灯成本2500元/盏，共计27.5万元</t>
  </si>
  <si>
    <t>方便260户721名村民的生产生活条件（其中脱贫户11户20人）。</t>
  </si>
  <si>
    <t>2025年武家庄镇天洼行政村高家洼组路灯安装项目</t>
  </si>
  <si>
    <t>高家洼自然村到入户路总长5公里,间距50m,共安装太阳能路灯100盏,路灯成本2500元/盏,总价25万元。</t>
  </si>
  <si>
    <t>天洼村</t>
  </si>
  <si>
    <t>提升88户219人（含脱贫户6户12人）道路亮化工程，拓展脱贫攻坚成果。</t>
  </si>
  <si>
    <t>2025年度庙沟门镇化皮沟村人居环境提升整治项目</t>
  </si>
  <si>
    <t>计划在化皮沟行政村石岩梁组、许家梁组、中沙焉组、阴峁沟组、兴伙盘组、仗则峁组、牛家梁和后沙焉组村内到户路两旁安装太阳能路灯、单头6米高（18V/100W太阳能板）85盏，双头6米高（18V/100W太阳能板）15盏。</t>
  </si>
  <si>
    <t>该项目建成后产权归村集体所有，方便村内常住的15户36人出行，改善村民人居环境，保障夜间出行安全。</t>
  </si>
  <si>
    <t>2025年哈镇鱼尔沟行政村陕坝梁组人居环境整治项目</t>
  </si>
  <si>
    <t>在上陕坝梁、下陕坝梁、小庄峁及和尚峁组等村内，以及陕坝梁至和尚峁通组路重点路段（转弯、邻崖等安全风险点），共安装6米高路灯150盏，每盏2600元。</t>
  </si>
  <si>
    <t>鱼尔沟村</t>
  </si>
  <si>
    <t>产权归集体所有，项目建成后出行有保障，预计农户有69户113人可受益，其中脱贫户10户18人。</t>
  </si>
  <si>
    <t>2025年黄甫镇红泥寨行政村通村道路路灯安装项目</t>
  </si>
  <si>
    <t>在贾寨自然村、红泥寨自然村、上川口自然村安装路灯，路灯安装距离8km，安装6m高太阳能路灯120盏，配套安装水泥路基。</t>
  </si>
  <si>
    <t>红泥寨村</t>
  </si>
  <si>
    <t>产权归村集体所有，保障村民出行安全，同时能够有效亮化村庄。部分路灯位于园区大道沿线，司乘夜间出行避免视野盲区，有效预防安全事故，切实提高村民生活满意度。受益农户309户863人，其中脱贫户10户17人。</t>
  </si>
  <si>
    <t>2025年黄甫镇埝墕行政村路灯安装项目</t>
  </si>
  <si>
    <t>在埝墕村6个自然村通村道路安装照明设施，范围全长10公里，安装6米高太阳能路灯115盏。</t>
  </si>
  <si>
    <t>项目产权归村集体所有，有效保障村民交通便利和安全出行，完善村基础设施。提升村民生活满意度。受益总人数224户614人，其中脱贫户24户56人。</t>
  </si>
  <si>
    <t>2025年黄甫镇墙头行政村路灯安装项目</t>
  </si>
  <si>
    <t>在墙头村新安装路灯100盏。其中8米高路灯35盏，6米高路灯65盏。</t>
  </si>
  <si>
    <t>产权归村集体所有，有效改善群众出行条件，保障村民出行安全，完善村内基础设施，方便群众生产、生活，切实提高村民生活满意度。受益农户320户790人，其中脱贫户12户23人。</t>
  </si>
  <si>
    <t>2025年黄甫镇魏寨行政村通村道路路灯安装项目</t>
  </si>
  <si>
    <t>在魏寨行政村10个自然村通村道路安装6米高太阳能路灯100盏。</t>
  </si>
  <si>
    <t>产权归村集体所有，有效保障村民交通便利和安全出行，完善村基础设施。提升村民生活满意度。受益农户588户1502人，其中脱贫户11户19人。</t>
  </si>
  <si>
    <t>2025年大昌汗镇山鸡塔村太阳能路灯建设项目</t>
  </si>
  <si>
    <t>在1.8公里通村路上安装太阳能路灯100盏（6米灯杆高、18V/100W太阳能板）。</t>
  </si>
  <si>
    <t>项目建成后归村集体所有，方便群众出行，受益农户104户316人，其中脱贫户3户3人。</t>
  </si>
  <si>
    <t>2025年府谷镇桑园梁村桑园梁组路灯建设项目</t>
  </si>
  <si>
    <t>在4公里道路安装太阳能路灯50盏，高6米。</t>
  </si>
  <si>
    <t>建成后资产属于桑园梁村，保障村民出行安全，受益农户126户344人，受益脱贫户6户12人。</t>
  </si>
  <si>
    <t>2025年度府谷镇狮子城村路灯建设项目</t>
  </si>
  <si>
    <t>在5公里村主干道，安装太阳能路灯40盏，6米高。</t>
  </si>
  <si>
    <t>狮子城村</t>
  </si>
  <si>
    <t>建成后资产属于狮子城村，受益农户304户809人，受益脱贫户22户34人，受益监测户3户6人。可以保障夜间的出行安全。</t>
  </si>
  <si>
    <t>2025年府谷镇石马川村路灯建设项目</t>
  </si>
  <si>
    <t>通组主干道4.5公里，安装太阳能路灯（6米高）150盏。</t>
  </si>
  <si>
    <t>建成后资产属于石马川行政村，受益农户117户284人，受益脱贫户8户21人，可以改善村民夜间出行条件。</t>
  </si>
  <si>
    <t>2025年府谷镇石庙焉村路灯建设项目</t>
  </si>
  <si>
    <t>4个自然村村内安装太阳能路灯210盏（6米高）。</t>
  </si>
  <si>
    <t>石庙墕村</t>
  </si>
  <si>
    <t>建成后资产属于石庙焉村，受益农户355户1002人，受益脱贫户6户7人，可以保证夜间出行安全。</t>
  </si>
  <si>
    <t>2025年府谷镇院庙梁村路灯建设项目</t>
  </si>
  <si>
    <t>沙庄自然村通组道路3公里及村内安装太阳能路灯150盏，塔庙梁自然村村内安装太阳能路灯20盏。</t>
  </si>
  <si>
    <t>院庙梁村</t>
  </si>
  <si>
    <t>建成后资产属于院庙梁村，受益农户276户768人，受益脱贫户8户9人，可以改善保障夜间出行安全。</t>
  </si>
  <si>
    <t>2025年黄甫镇刘家坪行政村赵家渠、蔺家坪村路灯安装项目</t>
  </si>
  <si>
    <t>在赵家渠自然村安装200瓦高6米太阳能路灯5盏。蔺家坪自然村安装200瓦高6米太阳能路灯10盏。</t>
  </si>
  <si>
    <t>该项目为基础设施项目，形成公益性资产，产权归村集体所有，由村集体负责人负责管护。有效改善群众出行条件，保障村民出行安全，完善村内基础设施，方便群众生产、生活，切实提高村民生活满意度。受益群众454户1117人，其中脱贫户13户29人。</t>
  </si>
  <si>
    <t>2025年府谷镇沙沟村沙沟组路灯建设项目</t>
  </si>
  <si>
    <t>在村内2公里安装太阳能路灯20盏，6米高。</t>
  </si>
  <si>
    <t>建成后资产属于沙沟村后沙沟组，受益农户36户99人，受益脱贫户2户7人，可以保障村内夜间出行安全。</t>
  </si>
  <si>
    <t>2025年老高川镇枇杷沟村前黄村沟组路灯安装项目</t>
  </si>
  <si>
    <t>计划在前黄村沟村自然村入村道路、村内主要地段安装太阳能路灯100盏，道路全长4公里，路灯规格为6米灯杆高、100W太阳能板、80AH锂电池、100W灯珠，每盏2600元。</t>
  </si>
  <si>
    <t>该项目产权归村集体所有，项目建成后，能够有效解决前黄村沟自然村照明问题，提升全村群众安全指数，全村受益55户166人，其中脱贫户4户6人，保障夜间出行安全。</t>
  </si>
  <si>
    <t>2025年田家寨镇南门村高家峁、张家峁组路灯工程</t>
  </si>
  <si>
    <t>安装6米杆高太阳能路灯90盏。</t>
  </si>
  <si>
    <t>该项目为基础设施项目，形成公益性资产，项目建成后产权属于南门村，由南门村负责后期资产管护。路灯工程可进一步美化乡村环境，带动脱贫户2户2人（含监测户），受益农户99户276人，方便村民晚上活动，给村民提供便利，提高群众幸福指数。</t>
  </si>
  <si>
    <t>2025年府谷县新府山安置点“微田园”项目</t>
  </si>
  <si>
    <t>计划在新府山易地扶贫搬迁安置点为230户搬迁户建设“微田园”85亩，用于解决搬迁群众“种地难”的问题，有效降低搬迁群众买菜等生活支出，同时适当劳作、保持内生动力。财政资金用于对租地种植的搬迁户进行种子、肥料、地膜等农资奖补，计划补助肥料60吨、土豆种子15袋、玉米种子50小袋，各种蔬菜种子50斤，地膜300公斤等。同时配套3个水罐等灌溉设施。</t>
  </si>
  <si>
    <t>新府山社区</t>
  </si>
  <si>
    <t>是</t>
  </si>
  <si>
    <t>实施微田园85亩，小菜园托稳“菜篮子”，让易地搬迁群众在家门口有地种，有菜摘。每户至少增收1000元。受益脱贫户233户758人（含监测对象6户15人）。</t>
  </si>
  <si>
    <t>府谷县发改局</t>
  </si>
  <si>
    <t>2025年4月-
2025年10月</t>
  </si>
  <si>
    <t>2025年府谷县新府山易地搬迁安置点社区提升改造项目</t>
  </si>
  <si>
    <t>对新府山社区一站式便民大厅进行提升改造，打造40㎡老年文化健身活动室，打造儿童公益课堂及托管之家2间40㎡；增加便民设施。</t>
  </si>
  <si>
    <t>该项目建成后，将为搬迁群众提供养老日间照料服务、儿童托管、公益课堂等服务；便民大厅设置民生、养老、信访、医保等10个办事窗口，实行一站式服务，让搬迁群众生活更便利。受益群众542户1623人。</t>
  </si>
  <si>
    <t>2025年1月-
2025年12月</t>
  </si>
  <si>
    <t>2025年度雨露计划项目</t>
  </si>
  <si>
    <t>落实雨露计划政策，计划补助学生140名，每生每年补助3000元。</t>
  </si>
  <si>
    <t>为就读中高职和技工院校的脱贫户和监测户家庭140名学生提供补助，减轻脱贫家庭教育负担，提高两后生就业能力，拓宽就业渠道。受益140户140人，全部为脱贫户及监测户。</t>
  </si>
  <si>
    <t>2025年监测对象应急帮扶项目</t>
  </si>
  <si>
    <t>按照防返贫动态监测帮扶要求，对动态新增监测对象落实开发式帮扶措施，对符合条件的监测对象开展小额信贷贴息、产业奖补、雨露计划、跨县就业交通补助等产业就业措施。计划帮扶监测对象50户。</t>
  </si>
  <si>
    <t>守牢不发生规模性返贫底线，及时落实监测对象帮扶项目，不断巩固脱贫成果。预计受益监测对象50户120人。</t>
  </si>
  <si>
    <t>2025年项目管理费</t>
  </si>
  <si>
    <t>用于项目前期调研论证、勘测设计、招投标代理、工程监理、工程管理、工程决算等费用。</t>
  </si>
  <si>
    <t>规范衔接资金项目管理，提高资金使用效益。受益76237户213150人，其中脱贫户3115户6146人，监测对象215户503人。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</si>
</sst>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name val="宋体"/>
      <charset val="134"/>
      <scheme val="minor"/>
    </font>
    <font>
      <sz val="11"/>
      <name val="仿宋"/>
      <charset val="134"/>
    </font>
    <font>
      <sz val="14"/>
      <name val="仿宋"/>
      <charset val="134"/>
    </font>
    <font>
      <sz val="14"/>
      <name val="宋体"/>
      <charset val="134"/>
      <scheme val="minor"/>
    </font>
    <font>
      <sz val="16"/>
      <name val="黑体"/>
      <charset val="134"/>
    </font>
    <font>
      <sz val="19"/>
      <name val="方正小标宋简体"/>
      <charset val="134"/>
    </font>
    <font>
      <sz val="14"/>
      <name val="黑体"/>
      <charset val="134"/>
    </font>
    <font>
      <b/>
      <sz val="14"/>
      <name val="仿宋"/>
      <charset val="134"/>
    </font>
    <font>
      <sz val="14"/>
      <name val="仿宋"/>
      <charset val="0"/>
    </font>
    <font>
      <sz val="12"/>
      <name val="仿宋"/>
      <charset val="134"/>
    </font>
    <font>
      <sz val="18"/>
      <name val="方正小标宋简体"/>
      <charset val="134"/>
    </font>
    <font>
      <b/>
      <sz val="12"/>
      <name val="宋体"/>
      <charset val="134"/>
    </font>
    <font>
      <sz val="12"/>
      <name val="宋体"/>
      <charset val="134"/>
      <scheme val="minor"/>
    </font>
    <font>
      <sz val="12"/>
      <name val="宋体"/>
      <charset val="134"/>
    </font>
    <font>
      <sz val="22"/>
      <name val="方正小标宋简体"/>
      <charset val="134"/>
    </font>
    <font>
      <b/>
      <sz val="12"/>
      <color theme="1"/>
      <name val="宋体"/>
      <charset val="1"/>
      <scheme val="minor"/>
    </font>
    <font>
      <b/>
      <sz val="12"/>
      <name val="宋体"/>
      <charset val="134"/>
      <scheme val="minor"/>
    </font>
    <font>
      <sz val="12"/>
      <name val="黑体"/>
      <charset val="134"/>
    </font>
    <font>
      <sz val="12"/>
      <color theme="1"/>
      <name val="宋体"/>
      <charset val="1"/>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
      <sz val="14"/>
      <name val="Times New Roman"/>
      <charset val="134"/>
    </font>
    <font>
      <sz val="14"/>
      <name val="宋体"/>
      <charset val="0"/>
    </font>
    <font>
      <sz val="12"/>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3" borderId="5" applyNumberFormat="0" applyAlignment="0" applyProtection="0">
      <alignment vertical="center"/>
    </xf>
    <xf numFmtId="0" fontId="29" fillId="4" borderId="6" applyNumberFormat="0" applyAlignment="0" applyProtection="0">
      <alignment vertical="center"/>
    </xf>
    <xf numFmtId="0" fontId="30" fillId="4" borderId="5" applyNumberFormat="0" applyAlignment="0" applyProtection="0">
      <alignment vertical="center"/>
    </xf>
    <xf numFmtId="0" fontId="31" fillId="5"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67">
    <xf numFmtId="0" fontId="0" fillId="0" borderId="0" xfId="0">
      <alignment vertical="center"/>
    </xf>
    <xf numFmtId="0" fontId="1" fillId="0" borderId="0" xfId="0" applyFont="1" applyFill="1" applyAlignment="1">
      <alignment horizontal="lef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horizontal="center" vertical="center"/>
    </xf>
    <xf numFmtId="0" fontId="4" fillId="0"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6"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protection locked="0"/>
    </xf>
    <xf numFmtId="0" fontId="1"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vertical="center"/>
    </xf>
    <xf numFmtId="0" fontId="5" fillId="0" borderId="0" xfId="0" applyFont="1" applyFill="1" applyAlignment="1">
      <alignment vertical="center" wrapText="1"/>
    </xf>
    <xf numFmtId="0" fontId="15" fillId="0" borderId="0" xfId="0" applyFont="1" applyFill="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14"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9"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b val="0"/>
        <i val="0"/>
        <strike val="0"/>
        <color rgb="FFFF6600"/>
      </font>
      <fill>
        <patternFill patternType="solid">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5"/>
  <sheetViews>
    <sheetView showZeros="0" tabSelected="1" zoomScale="90" zoomScaleNormal="90" workbookViewId="0">
      <selection activeCell="I2" sqref="I2"/>
    </sheetView>
  </sheetViews>
  <sheetFormatPr defaultColWidth="9" defaultRowHeight="15.6" outlineLevelCol="7"/>
  <cols>
    <col min="1" max="1" width="19.3333333333333" style="46" customWidth="1"/>
    <col min="2" max="2" width="24.5555555555556" style="47" customWidth="1"/>
    <col min="3" max="3" width="61.5277777777778" style="46" customWidth="1"/>
    <col min="4" max="4" width="15.75" style="48" customWidth="1"/>
    <col min="5" max="5" width="21.1203703703704" style="48" customWidth="1"/>
    <col min="6" max="6" width="20.8888888888889" style="48" customWidth="1"/>
    <col min="7" max="7" width="20.8981481481481" style="48" customWidth="1"/>
    <col min="8" max="8" width="16.1388888888889" style="45" customWidth="1"/>
    <col min="9" max="16375" width="9" style="45"/>
    <col min="16376" max="16382" width="9" style="49"/>
  </cols>
  <sheetData>
    <row r="1" ht="37" customHeight="1" spans="1:1">
      <c r="A1" s="50" t="s">
        <v>0</v>
      </c>
    </row>
    <row r="2" s="42" customFormat="1" ht="66" customHeight="1" spans="1:8">
      <c r="A2" s="51" t="s">
        <v>1</v>
      </c>
      <c r="B2" s="51"/>
      <c r="C2" s="51"/>
      <c r="D2" s="51"/>
      <c r="E2" s="51"/>
      <c r="F2" s="51"/>
      <c r="G2" s="51"/>
      <c r="H2" s="51"/>
    </row>
    <row r="3" s="42" customFormat="1" ht="16" customHeight="1" spans="1:8">
      <c r="A3" s="52"/>
      <c r="B3" s="52"/>
      <c r="C3" s="52"/>
      <c r="D3" s="53"/>
      <c r="E3" s="54"/>
      <c r="F3" s="53"/>
      <c r="G3" s="10" t="s">
        <v>2</v>
      </c>
      <c r="H3" s="10"/>
    </row>
    <row r="4" s="43" customFormat="1" ht="22" customHeight="1" spans="1:8">
      <c r="A4" s="55" t="s">
        <v>3</v>
      </c>
      <c r="B4" s="56" t="s">
        <v>4</v>
      </c>
      <c r="C4" s="55" t="s">
        <v>5</v>
      </c>
      <c r="D4" s="57" t="s">
        <v>6</v>
      </c>
      <c r="E4" s="58" t="s">
        <v>7</v>
      </c>
      <c r="F4" s="58"/>
      <c r="G4" s="58"/>
      <c r="H4" s="57" t="s">
        <v>8</v>
      </c>
    </row>
    <row r="5" s="44" customFormat="1" ht="22" customHeight="1" spans="1:8">
      <c r="A5" s="55"/>
      <c r="B5" s="56"/>
      <c r="C5" s="55"/>
      <c r="D5" s="57"/>
      <c r="E5" s="57" t="s">
        <v>9</v>
      </c>
      <c r="F5" s="57" t="s">
        <v>10</v>
      </c>
      <c r="G5" s="57" t="s">
        <v>11</v>
      </c>
      <c r="H5" s="57"/>
    </row>
    <row r="6" s="44" customFormat="1" ht="22" customHeight="1" spans="1:8">
      <c r="A6" s="55" t="s">
        <v>12</v>
      </c>
      <c r="B6" s="55"/>
      <c r="C6" s="55"/>
      <c r="D6" s="57">
        <f t="shared" ref="D6:G6" si="0">D7+D39+D56+D79+D83+D104+D113+D115</f>
        <v>472</v>
      </c>
      <c r="E6" s="57">
        <f t="shared" si="0"/>
        <v>29819.0865</v>
      </c>
      <c r="F6" s="57">
        <f t="shared" si="0"/>
        <v>29617.5305</v>
      </c>
      <c r="G6" s="57">
        <f t="shared" si="0"/>
        <v>201.556</v>
      </c>
      <c r="H6" s="57"/>
    </row>
    <row r="7" s="44" customFormat="1" ht="22" customHeight="1" spans="1:8">
      <c r="A7" s="59" t="s">
        <v>13</v>
      </c>
      <c r="B7" s="56" t="s">
        <v>14</v>
      </c>
      <c r="C7" s="56"/>
      <c r="D7" s="57">
        <f t="shared" ref="D7:G7" si="1">D8+D15+D20+D23+D28</f>
        <v>191</v>
      </c>
      <c r="E7" s="57">
        <f t="shared" si="1"/>
        <v>13545.5839</v>
      </c>
      <c r="F7" s="57">
        <f t="shared" si="1"/>
        <v>13469.0279</v>
      </c>
      <c r="G7" s="57">
        <f t="shared" si="1"/>
        <v>76.556</v>
      </c>
      <c r="H7" s="57"/>
    </row>
    <row r="8" s="44" customFormat="1" ht="22" customHeight="1" spans="1:8">
      <c r="A8" s="59"/>
      <c r="B8" s="60" t="s">
        <v>15</v>
      </c>
      <c r="C8" s="55" t="s">
        <v>16</v>
      </c>
      <c r="D8" s="57">
        <f t="shared" ref="D8:G8" si="2">SUM(D9:D14)</f>
        <v>147</v>
      </c>
      <c r="E8" s="57">
        <f t="shared" si="2"/>
        <v>9597.6329</v>
      </c>
      <c r="F8" s="57">
        <f t="shared" si="2"/>
        <v>9521.0769</v>
      </c>
      <c r="G8" s="57">
        <f t="shared" si="2"/>
        <v>76.556</v>
      </c>
      <c r="H8" s="57"/>
    </row>
    <row r="9" s="45" customFormat="1" ht="22" customHeight="1" spans="1:8">
      <c r="A9" s="59"/>
      <c r="B9" s="60"/>
      <c r="C9" s="61" t="s">
        <v>17</v>
      </c>
      <c r="D9" s="62">
        <f>COUNTIFS(项目库明细总表!D:D,"种植业基地")</f>
        <v>132</v>
      </c>
      <c r="E9" s="62">
        <f t="shared" ref="E9:E14" si="3">F9+G9</f>
        <v>9115.8329</v>
      </c>
      <c r="F9" s="62">
        <f>SUMIFS(项目库明细总表!J:J,项目库明细总表!$D:$D,"种植业基地")</f>
        <v>9039.2769</v>
      </c>
      <c r="G9" s="62">
        <f>SUMIFS(项目库明细总表!K:K,项目库明细总表!$D:$D,"种植业基地")</f>
        <v>76.556</v>
      </c>
      <c r="H9" s="63"/>
    </row>
    <row r="10" s="45" customFormat="1" ht="22" customHeight="1" spans="1:8">
      <c r="A10" s="59"/>
      <c r="B10" s="60"/>
      <c r="C10" s="61" t="s">
        <v>18</v>
      </c>
      <c r="D10" s="62">
        <f>COUNTIFS(项目库明细总表!D:D,"养殖业基地")</f>
        <v>11</v>
      </c>
      <c r="E10" s="62">
        <f t="shared" si="3"/>
        <v>297.33</v>
      </c>
      <c r="F10" s="62">
        <f>SUMIFS(项目库明细总表!J:J,项目库明细总表!$D:$D,"养殖业基地")</f>
        <v>297.33</v>
      </c>
      <c r="G10" s="62">
        <f>SUMIFS(项目库明细总表!K:K,项目库明细总表!$D:$D,"养殖业基地")</f>
        <v>0</v>
      </c>
      <c r="H10" s="63"/>
    </row>
    <row r="11" s="45" customFormat="1" ht="22" customHeight="1" spans="1:8">
      <c r="A11" s="59"/>
      <c r="B11" s="60"/>
      <c r="C11" s="61" t="s">
        <v>19</v>
      </c>
      <c r="D11" s="62">
        <f>COUNTIFS(项目库明细总表!D:D,"水产养殖业发展")</f>
        <v>2</v>
      </c>
      <c r="E11" s="62">
        <f t="shared" si="3"/>
        <v>49.47</v>
      </c>
      <c r="F11" s="62">
        <f>SUMIFS(项目库明细总表!J:J,项目库明细总表!$D:$D,"水产养殖业发展")</f>
        <v>49.47</v>
      </c>
      <c r="G11" s="62">
        <f>SUMIFS(项目库明细总表!K:K,项目库明细总表!$D:$D,"水产养殖业发展")</f>
        <v>0</v>
      </c>
      <c r="H11" s="63"/>
    </row>
    <row r="12" s="45" customFormat="1" ht="22" customHeight="1" spans="1:8">
      <c r="A12" s="59"/>
      <c r="B12" s="60"/>
      <c r="C12" s="61" t="s">
        <v>20</v>
      </c>
      <c r="D12" s="62">
        <f>COUNTIFS(项目库明细总表!D:D,"林草基地建设")</f>
        <v>0</v>
      </c>
      <c r="E12" s="62">
        <f t="shared" si="3"/>
        <v>0</v>
      </c>
      <c r="F12" s="62">
        <f>SUMIFS(项目库明细总表!J:J,项目库明细总表!$D:$D,"林草基地建设")</f>
        <v>0</v>
      </c>
      <c r="G12" s="62">
        <f>SUMIFS(项目库明细总表!K:K,项目库明细总表!$D:$D,"林草基地建设")</f>
        <v>0</v>
      </c>
      <c r="H12" s="63"/>
    </row>
    <row r="13" s="45" customFormat="1" ht="22" customHeight="1" spans="1:8">
      <c r="A13" s="59"/>
      <c r="B13" s="60"/>
      <c r="C13" s="61" t="s">
        <v>21</v>
      </c>
      <c r="D13" s="62">
        <f>COUNTIFS(项目库明细总表!D:D,"休闲农业与乡村旅游")</f>
        <v>2</v>
      </c>
      <c r="E13" s="62">
        <f t="shared" si="3"/>
        <v>135</v>
      </c>
      <c r="F13" s="62">
        <f>SUMIFS(项目库明细总表!J:J,项目库明细总表!$D:$D,"休闲农业与乡村旅游")</f>
        <v>135</v>
      </c>
      <c r="G13" s="62">
        <f>SUMIFS(项目库明细总表!K:K,项目库明细总表!$D:$D,"休闲农业与乡村旅游")</f>
        <v>0</v>
      </c>
      <c r="H13" s="63"/>
    </row>
    <row r="14" s="45" customFormat="1" ht="22" customHeight="1" spans="1:8">
      <c r="A14" s="59"/>
      <c r="B14" s="60"/>
      <c r="C14" s="61" t="s">
        <v>22</v>
      </c>
      <c r="D14" s="62">
        <f>COUNTIFS(项目库明细总表!D:D,"光伏电站建设")</f>
        <v>0</v>
      </c>
      <c r="E14" s="62">
        <f t="shared" si="3"/>
        <v>0</v>
      </c>
      <c r="F14" s="62">
        <f>SUMIFS(项目库明细总表!J:J,项目库明细总表!$D:$D,"光伏电站建设")</f>
        <v>0</v>
      </c>
      <c r="G14" s="62">
        <f>SUMIFS(项目库明细总表!K:K,项目库明细总表!$D:$D,"光伏电站建设")</f>
        <v>0</v>
      </c>
      <c r="H14" s="63"/>
    </row>
    <row r="15" s="45" customFormat="1" ht="22" customHeight="1" spans="1:8">
      <c r="A15" s="59"/>
      <c r="B15" s="60" t="s">
        <v>23</v>
      </c>
      <c r="C15" s="55" t="s">
        <v>16</v>
      </c>
      <c r="D15" s="62">
        <f t="shared" ref="D15:G15" si="4">SUM(D16:D19)</f>
        <v>24</v>
      </c>
      <c r="E15" s="62">
        <f t="shared" si="4"/>
        <v>2757.36</v>
      </c>
      <c r="F15" s="62">
        <f t="shared" si="4"/>
        <v>2757.36</v>
      </c>
      <c r="G15" s="62">
        <f t="shared" si="4"/>
        <v>0</v>
      </c>
      <c r="H15" s="63"/>
    </row>
    <row r="16" s="45" customFormat="1" ht="22" customHeight="1" spans="1:8">
      <c r="A16" s="59"/>
      <c r="B16" s="60"/>
      <c r="C16" s="61" t="s">
        <v>24</v>
      </c>
      <c r="D16" s="62">
        <f>COUNTIFS(项目库明细总表!D:D,"农产品仓储保鲜冷链基础设施建设")</f>
        <v>3</v>
      </c>
      <c r="E16" s="62">
        <f t="shared" ref="E16:E19" si="5">F16+G16</f>
        <v>148</v>
      </c>
      <c r="F16" s="62">
        <f>SUMIFS(项目库明细总表!J:J,项目库明细总表!$D:$D,"农产品仓储保鲜冷链基础设施建设")</f>
        <v>148</v>
      </c>
      <c r="G16" s="62">
        <f>SUMIFS(项目库明细总表!K:K,项目库明细总表!$D:$D,"农产品仓储保鲜冷链基础设施建设")</f>
        <v>0</v>
      </c>
      <c r="H16" s="63"/>
    </row>
    <row r="17" s="45" customFormat="1" ht="22" customHeight="1" spans="1:8">
      <c r="A17" s="59"/>
      <c r="B17" s="60"/>
      <c r="C17" s="61" t="s">
        <v>25</v>
      </c>
      <c r="D17" s="62">
        <f>COUNTIFS(项目库明细总表!D:D,"加工业")</f>
        <v>12</v>
      </c>
      <c r="E17" s="62">
        <f t="shared" si="5"/>
        <v>1341.25</v>
      </c>
      <c r="F17" s="62">
        <f>SUMIFS(项目库明细总表!J:J,项目库明细总表!$D:$D,"加工业")</f>
        <v>1341.25</v>
      </c>
      <c r="G17" s="62">
        <f>SUMIFS(项目库明细总表!K:K,项目库明细总表!$D:$D,"加工业")</f>
        <v>0</v>
      </c>
      <c r="H17" s="63"/>
    </row>
    <row r="18" s="45" customFormat="1" ht="22" customHeight="1" spans="1:8">
      <c r="A18" s="59"/>
      <c r="B18" s="60"/>
      <c r="C18" s="61" t="s">
        <v>26</v>
      </c>
      <c r="D18" s="62">
        <f>COUNTIFS(项目库明细总表!D:D,"市场建设和农村物流")</f>
        <v>5</v>
      </c>
      <c r="E18" s="62">
        <f t="shared" si="5"/>
        <v>1076.41</v>
      </c>
      <c r="F18" s="62">
        <f>SUMIFS(项目库明细总表!J:J,项目库明细总表!$D:$D,"市场建设和农村物流")</f>
        <v>1076.41</v>
      </c>
      <c r="G18" s="62">
        <f>SUMIFS(项目库明细总表!K:K,项目库明细总表!$D:$D,"市场建设和农村物流")</f>
        <v>0</v>
      </c>
      <c r="H18" s="63"/>
    </row>
    <row r="19" s="45" customFormat="1" ht="22" customHeight="1" spans="1:8">
      <c r="A19" s="59"/>
      <c r="B19" s="60"/>
      <c r="C19" s="61" t="s">
        <v>27</v>
      </c>
      <c r="D19" s="62">
        <f>COUNTIFS(项目库明细总表!D:D,"品牌打造和展销平台")</f>
        <v>4</v>
      </c>
      <c r="E19" s="62">
        <f t="shared" si="5"/>
        <v>191.7</v>
      </c>
      <c r="F19" s="62">
        <f>SUMIFS(项目库明细总表!J:J,项目库明细总表!$D:$D,"品牌打造和展销平台")</f>
        <v>191.7</v>
      </c>
      <c r="G19" s="62">
        <f>SUMIFS(项目库明细总表!K:K,项目库明细总表!$D:$D,"品牌打造和展销平台")</f>
        <v>0</v>
      </c>
      <c r="H19" s="63"/>
    </row>
    <row r="20" s="45" customFormat="1" ht="22" customHeight="1" spans="1:8">
      <c r="A20" s="59"/>
      <c r="B20" s="60" t="s">
        <v>28</v>
      </c>
      <c r="C20" s="55" t="s">
        <v>16</v>
      </c>
      <c r="D20" s="62">
        <f t="shared" ref="D20:G20" si="6">D21+D22</f>
        <v>8</v>
      </c>
      <c r="E20" s="62">
        <f t="shared" si="6"/>
        <v>269.7</v>
      </c>
      <c r="F20" s="62">
        <f t="shared" si="6"/>
        <v>269.7</v>
      </c>
      <c r="G20" s="62">
        <f t="shared" si="6"/>
        <v>0</v>
      </c>
      <c r="H20" s="63"/>
    </row>
    <row r="21" s="45" customFormat="1" ht="22" customHeight="1" spans="1:8">
      <c r="A21" s="59"/>
      <c r="B21" s="60"/>
      <c r="C21" s="61" t="s">
        <v>29</v>
      </c>
      <c r="D21" s="62">
        <f>COUNTIFS(项目库明细总表!D:D,"小型农田水利设施建设")</f>
        <v>4</v>
      </c>
      <c r="E21" s="62">
        <f t="shared" ref="E21:E27" si="7">F21+G21</f>
        <v>152.2</v>
      </c>
      <c r="F21" s="62">
        <f>SUMIFS(项目库明细总表!J:J,项目库明细总表!$D:$D,"小型农田水利设施建设")</f>
        <v>152.2</v>
      </c>
      <c r="G21" s="62">
        <f>SUMIFS(项目库明细总表!K:K,项目库明细总表!$D:$D,"小型农田水利设施建设")</f>
        <v>0</v>
      </c>
      <c r="H21" s="63"/>
    </row>
    <row r="22" s="45" customFormat="1" ht="22" customHeight="1" spans="1:8">
      <c r="A22" s="59"/>
      <c r="B22" s="60"/>
      <c r="C22" s="61" t="s">
        <v>30</v>
      </c>
      <c r="D22" s="62">
        <f>COUNTIFS(项目库明细总表!D:D,"产业园（区）")</f>
        <v>4</v>
      </c>
      <c r="E22" s="62">
        <f t="shared" si="7"/>
        <v>117.5</v>
      </c>
      <c r="F22" s="62">
        <f>SUMIFS(项目库明细总表!J:J,项目库明细总表!$D:$D,"产业园（区）")</f>
        <v>117.5</v>
      </c>
      <c r="G22" s="62">
        <f>SUMIFS(项目库明细总表!K:K,项目库明细总表!$D:$D,"产业园（区）")</f>
        <v>0</v>
      </c>
      <c r="H22" s="63"/>
    </row>
    <row r="23" s="45" customFormat="1" ht="22" customHeight="1" spans="1:8">
      <c r="A23" s="59"/>
      <c r="B23" s="60" t="s">
        <v>31</v>
      </c>
      <c r="C23" s="55" t="s">
        <v>16</v>
      </c>
      <c r="D23" s="62">
        <f t="shared" ref="D23:G23" si="8">SUM(D24:D27)</f>
        <v>10</v>
      </c>
      <c r="E23" s="62">
        <f t="shared" si="8"/>
        <v>848.891</v>
      </c>
      <c r="F23" s="62">
        <f t="shared" si="8"/>
        <v>848.891</v>
      </c>
      <c r="G23" s="62">
        <f t="shared" si="8"/>
        <v>0</v>
      </c>
      <c r="H23" s="63"/>
    </row>
    <row r="24" s="45" customFormat="1" ht="22" customHeight="1" spans="1:8">
      <c r="A24" s="59"/>
      <c r="B24" s="60"/>
      <c r="C24" s="61" t="s">
        <v>32</v>
      </c>
      <c r="D24" s="62">
        <f>COUNTIFS(项目库明细总表!D:D,"智慧农业")</f>
        <v>0</v>
      </c>
      <c r="E24" s="62">
        <f t="shared" si="7"/>
        <v>0</v>
      </c>
      <c r="F24" s="62">
        <f>SUMIFS(项目库明细总表!J:J,项目库明细总表!$D:$D,"智慧农业")</f>
        <v>0</v>
      </c>
      <c r="G24" s="62">
        <f>SUMIFS(项目库明细总表!K:K,项目库明细总表!$D:$D,"智慧农业")</f>
        <v>0</v>
      </c>
      <c r="H24" s="63"/>
    </row>
    <row r="25" s="45" customFormat="1" ht="22" customHeight="1" spans="1:8">
      <c r="A25" s="59"/>
      <c r="B25" s="60"/>
      <c r="C25" s="61" t="s">
        <v>33</v>
      </c>
      <c r="D25" s="62">
        <f>COUNTIFS(项目库明细总表!D:D,"科技服务")</f>
        <v>0</v>
      </c>
      <c r="E25" s="62">
        <f t="shared" si="7"/>
        <v>0</v>
      </c>
      <c r="F25" s="62">
        <f>SUMIFS(项目库明细总表!J:J,项目库明细总表!$D:$D,"科技服务")</f>
        <v>0</v>
      </c>
      <c r="G25" s="62">
        <f>SUMIFS(项目库明细总表!K:K,项目库明细总表!$D:$D,"科技服务")</f>
        <v>0</v>
      </c>
      <c r="H25" s="63"/>
    </row>
    <row r="26" s="45" customFormat="1" ht="22" customHeight="1" spans="1:8">
      <c r="A26" s="59"/>
      <c r="B26" s="60"/>
      <c r="C26" s="61" t="s">
        <v>34</v>
      </c>
      <c r="D26" s="62">
        <f>COUNTIFS(项目库明细总表!D:D,"人才培养")</f>
        <v>0</v>
      </c>
      <c r="E26" s="62">
        <f t="shared" si="7"/>
        <v>0</v>
      </c>
      <c r="F26" s="62">
        <f>SUMIFS(项目库明细总表!J:J,项目库明细总表!$D:$D,"人才培养")</f>
        <v>0</v>
      </c>
      <c r="G26" s="62">
        <f>SUMIFS(项目库明细总表!K:K,项目库明细总表!$D:$D,"人才培养")</f>
        <v>0</v>
      </c>
      <c r="H26" s="63"/>
    </row>
    <row r="27" s="45" customFormat="1" ht="22" customHeight="1" spans="1:8">
      <c r="A27" s="59"/>
      <c r="B27" s="60"/>
      <c r="C27" s="61" t="s">
        <v>35</v>
      </c>
      <c r="D27" s="62">
        <f>COUNTIFS(项目库明细总表!D:D,"农业社会化服务")</f>
        <v>10</v>
      </c>
      <c r="E27" s="62">
        <f t="shared" si="7"/>
        <v>848.891</v>
      </c>
      <c r="F27" s="62">
        <f>SUMIFS(项目库明细总表!J:J,项目库明细总表!$D:$D,"农业社会化服务")</f>
        <v>848.891</v>
      </c>
      <c r="G27" s="62">
        <f>SUMIFS(项目库明细总表!K:K,项目库明细总表!$D:$D,"农业社会化服务")</f>
        <v>0</v>
      </c>
      <c r="H27" s="63"/>
    </row>
    <row r="28" s="45" customFormat="1" ht="22" customHeight="1" spans="1:8">
      <c r="A28" s="59"/>
      <c r="B28" s="60" t="s">
        <v>36</v>
      </c>
      <c r="C28" s="55" t="s">
        <v>16</v>
      </c>
      <c r="D28" s="62">
        <f t="shared" ref="D28:G28" si="9">SUM(D29:D33)</f>
        <v>2</v>
      </c>
      <c r="E28" s="62">
        <f t="shared" si="9"/>
        <v>72</v>
      </c>
      <c r="F28" s="62">
        <f t="shared" si="9"/>
        <v>72</v>
      </c>
      <c r="G28" s="62">
        <f t="shared" si="9"/>
        <v>0</v>
      </c>
      <c r="H28" s="63"/>
    </row>
    <row r="29" s="45" customFormat="1" ht="22" customHeight="1" spans="1:8">
      <c r="A29" s="59"/>
      <c r="B29" s="60"/>
      <c r="C29" s="61" t="s">
        <v>37</v>
      </c>
      <c r="D29" s="62">
        <f>COUNTIFS(项目库明细总表!D:D,"小额贷款贴息")</f>
        <v>1</v>
      </c>
      <c r="E29" s="62">
        <f t="shared" ref="E29:E33" si="10">F29+G29</f>
        <v>70</v>
      </c>
      <c r="F29" s="62">
        <f>SUMIFS(项目库明细总表!J:J,项目库明细总表!$D:$D,"小额贷款贴息")</f>
        <v>70</v>
      </c>
      <c r="G29" s="62">
        <f>SUMIFS(项目库明细总表!K:K,项目库明细总表!$D:$D,"小额贷款贴息")</f>
        <v>0</v>
      </c>
      <c r="H29" s="63"/>
    </row>
    <row r="30" s="45" customFormat="1" ht="22" customHeight="1" spans="1:8">
      <c r="A30" s="59"/>
      <c r="B30" s="60"/>
      <c r="C30" s="61" t="s">
        <v>38</v>
      </c>
      <c r="D30" s="62">
        <f>COUNTIFS(项目库明细总表!D:D,"小额信贷风险补偿金")</f>
        <v>0</v>
      </c>
      <c r="E30" s="62">
        <f t="shared" si="10"/>
        <v>0</v>
      </c>
      <c r="F30" s="62">
        <f>SUMIFS(项目库明细总表!J:J,项目库明细总表!$D:$D,"小额信贷风险补偿金")</f>
        <v>0</v>
      </c>
      <c r="G30" s="62">
        <f>SUMIFS(项目库明细总表!K:K,项目库明细总表!$D:$D,"小额信贷风险补偿金")</f>
        <v>0</v>
      </c>
      <c r="H30" s="63"/>
    </row>
    <row r="31" s="45" customFormat="1" ht="22" customHeight="1" spans="1:8">
      <c r="A31" s="59"/>
      <c r="B31" s="60"/>
      <c r="C31" s="61" t="s">
        <v>39</v>
      </c>
      <c r="D31" s="62">
        <f>COUNTIFS(项目库明细总表!D:D,"特色产业保险保费补助")</f>
        <v>0</v>
      </c>
      <c r="E31" s="62">
        <f t="shared" si="10"/>
        <v>0</v>
      </c>
      <c r="F31" s="62">
        <f>SUMIFS(项目库明细总表!J:J,项目库明细总表!$D:$D,"特色产业保险保费补助")</f>
        <v>0</v>
      </c>
      <c r="G31" s="62">
        <f>SUMIFS(项目库明细总表!K:K,项目库明细总表!$D:$D,"特色产业保险保费补助")</f>
        <v>0</v>
      </c>
      <c r="H31" s="63"/>
    </row>
    <row r="32" s="45" customFormat="1" ht="22" customHeight="1" spans="1:8">
      <c r="A32" s="59"/>
      <c r="B32" s="60"/>
      <c r="C32" s="61" t="s">
        <v>40</v>
      </c>
      <c r="D32" s="62">
        <f>COUNTIFS(项目库明细总表!D:D,"新型经营主体贷款贴息")</f>
        <v>0</v>
      </c>
      <c r="E32" s="62">
        <f t="shared" si="10"/>
        <v>0</v>
      </c>
      <c r="F32" s="62">
        <f>SUMIFS(项目库明细总表!J:J,项目库明细总表!$D:$D,"新型经营主体贷款贴息")</f>
        <v>0</v>
      </c>
      <c r="G32" s="62">
        <f>SUMIFS(项目库明细总表!K:K,项目库明细总表!$D:$D,"新型经营主体贷款贴息")</f>
        <v>0</v>
      </c>
      <c r="H32" s="63"/>
    </row>
    <row r="33" s="45" customFormat="1" ht="22" customHeight="1" spans="1:8">
      <c r="A33" s="59"/>
      <c r="B33" s="60"/>
      <c r="C33" s="61" t="s">
        <v>41</v>
      </c>
      <c r="D33" s="62">
        <f>COUNTIFS(项目库明细总表!B:B,"产业发展",项目库明细总表!D:D,"其他")</f>
        <v>1</v>
      </c>
      <c r="E33" s="62">
        <f t="shared" si="10"/>
        <v>2</v>
      </c>
      <c r="F33" s="62">
        <f>SUMIFS(项目库明细总表!J:J,项目库明细总表!$B:$B,"产业发展",项目库明细总表!$D:$D,"其他")</f>
        <v>2</v>
      </c>
      <c r="G33" s="62">
        <f>SUMIFS(项目库明细总表!K:K,项目库明细总表!$B:$B,"产业发展",项目库明细总表!$D:$D,"其他")</f>
        <v>0</v>
      </c>
      <c r="H33" s="63"/>
    </row>
    <row r="34" s="45" customFormat="1" ht="22" customHeight="1" spans="1:8">
      <c r="A34" s="59"/>
      <c r="B34" s="60" t="s">
        <v>42</v>
      </c>
      <c r="C34" s="61" t="s">
        <v>43</v>
      </c>
      <c r="D34" s="62"/>
      <c r="E34" s="62"/>
      <c r="F34" s="62"/>
      <c r="G34" s="62"/>
      <c r="H34" s="63"/>
    </row>
    <row r="35" s="45" customFormat="1" ht="22" customHeight="1" spans="1:8">
      <c r="A35" s="59"/>
      <c r="B35" s="60"/>
      <c r="C35" s="61" t="s">
        <v>44</v>
      </c>
      <c r="D35" s="62"/>
      <c r="E35" s="62"/>
      <c r="F35" s="62"/>
      <c r="G35" s="62"/>
      <c r="H35" s="63"/>
    </row>
    <row r="36" s="45" customFormat="1" ht="22" customHeight="1" spans="1:8">
      <c r="A36" s="59"/>
      <c r="B36" s="60"/>
      <c r="C36" s="61" t="s">
        <v>45</v>
      </c>
      <c r="D36" s="62"/>
      <c r="E36" s="62"/>
      <c r="F36" s="62"/>
      <c r="G36" s="62"/>
      <c r="H36" s="63"/>
    </row>
    <row r="37" s="45" customFormat="1" ht="22" customHeight="1" spans="1:8">
      <c r="A37" s="59"/>
      <c r="B37" s="60"/>
      <c r="C37" s="61" t="s">
        <v>46</v>
      </c>
      <c r="D37" s="62"/>
      <c r="E37" s="62"/>
      <c r="F37" s="62"/>
      <c r="G37" s="62"/>
      <c r="H37" s="63"/>
    </row>
    <row r="38" s="45" customFormat="1" ht="22" customHeight="1" spans="1:8">
      <c r="A38" s="59"/>
      <c r="B38" s="60"/>
      <c r="C38" s="61" t="s">
        <v>47</v>
      </c>
      <c r="D38" s="62"/>
      <c r="E38" s="62"/>
      <c r="F38" s="62"/>
      <c r="G38" s="62"/>
      <c r="H38" s="63"/>
    </row>
    <row r="39" s="45" customFormat="1" ht="22" customHeight="1" spans="1:8">
      <c r="A39" s="59" t="s">
        <v>48</v>
      </c>
      <c r="B39" s="56" t="s">
        <v>14</v>
      </c>
      <c r="C39" s="56"/>
      <c r="D39" s="62">
        <f t="shared" ref="D39:G39" si="11">D40+D43+D47+D50+D54</f>
        <v>2</v>
      </c>
      <c r="E39" s="62">
        <f t="shared" si="11"/>
        <v>30</v>
      </c>
      <c r="F39" s="62">
        <f t="shared" si="11"/>
        <v>30</v>
      </c>
      <c r="G39" s="62">
        <f t="shared" si="11"/>
        <v>0</v>
      </c>
      <c r="H39" s="63"/>
    </row>
    <row r="40" s="45" customFormat="1" ht="22" customHeight="1" spans="1:8">
      <c r="A40" s="59"/>
      <c r="B40" s="59" t="s">
        <v>49</v>
      </c>
      <c r="C40" s="55" t="s">
        <v>16</v>
      </c>
      <c r="D40" s="62">
        <f t="shared" ref="D40:G40" si="12">D41+D42</f>
        <v>1</v>
      </c>
      <c r="E40" s="62">
        <f t="shared" si="12"/>
        <v>10</v>
      </c>
      <c r="F40" s="62">
        <f t="shared" si="12"/>
        <v>10</v>
      </c>
      <c r="G40" s="62">
        <f t="shared" si="12"/>
        <v>0</v>
      </c>
      <c r="H40" s="63"/>
    </row>
    <row r="41" s="45" customFormat="1" ht="22" customHeight="1" spans="1:8">
      <c r="A41" s="59"/>
      <c r="B41" s="59"/>
      <c r="C41" s="61" t="s">
        <v>50</v>
      </c>
      <c r="D41" s="62">
        <f>COUNTIFS(项目库明细总表!D:D,"交通费补助")</f>
        <v>1</v>
      </c>
      <c r="E41" s="62">
        <f t="shared" ref="E41:E46" si="13">F41+G41</f>
        <v>10</v>
      </c>
      <c r="F41" s="62">
        <f>SUMIFS(项目库明细总表!J:J,项目库明细总表!$D:$D,"交通费补助")</f>
        <v>10</v>
      </c>
      <c r="G41" s="62">
        <f>SUMIFS(项目库明细总表!K:K,项目库明细总表!$D:$D,"交通费补助")</f>
        <v>0</v>
      </c>
      <c r="H41" s="63"/>
    </row>
    <row r="42" s="45" customFormat="1" ht="22" customHeight="1" spans="1:8">
      <c r="A42" s="59"/>
      <c r="B42" s="59"/>
      <c r="C42" s="61" t="s">
        <v>51</v>
      </c>
      <c r="D42" s="62">
        <f>COUNTIFS(项目库明细总表!D:D,"生产奖补、劳务补助等")</f>
        <v>0</v>
      </c>
      <c r="E42" s="62">
        <f t="shared" si="13"/>
        <v>0</v>
      </c>
      <c r="F42" s="62">
        <f>SUMIFS(项目库明细总表!J:J,项目库明细总表!$D:$D,"生产奖补、劳务补助等")</f>
        <v>0</v>
      </c>
      <c r="G42" s="62">
        <f>SUMIFS(项目库明细总表!K:K,项目库明细总表!$D:$D,"生产奖补、劳务补助等")</f>
        <v>0</v>
      </c>
      <c r="H42" s="63"/>
    </row>
    <row r="43" s="45" customFormat="1" ht="22" customHeight="1" spans="1:8">
      <c r="A43" s="59"/>
      <c r="B43" s="59" t="s">
        <v>52</v>
      </c>
      <c r="C43" s="55" t="s">
        <v>16</v>
      </c>
      <c r="D43" s="62">
        <f t="shared" ref="D43:G43" si="14">SUM(D44:D46)</f>
        <v>0</v>
      </c>
      <c r="E43" s="62">
        <f t="shared" si="14"/>
        <v>0</v>
      </c>
      <c r="F43" s="62">
        <f t="shared" si="14"/>
        <v>0</v>
      </c>
      <c r="G43" s="62">
        <f t="shared" si="14"/>
        <v>0</v>
      </c>
      <c r="H43" s="63"/>
    </row>
    <row r="44" s="45" customFormat="1" ht="22" customHeight="1" spans="1:8">
      <c r="A44" s="59"/>
      <c r="B44" s="59"/>
      <c r="C44" s="61" t="s">
        <v>53</v>
      </c>
      <c r="D44" s="62">
        <f>COUNTIFS(项目库明细总表!D:D,"帮扶车间（特色手工基地）建设")</f>
        <v>0</v>
      </c>
      <c r="E44" s="62">
        <f t="shared" si="13"/>
        <v>0</v>
      </c>
      <c r="F44" s="62">
        <f>SUMIFS(项目库明细总表!J:J,项目库明细总表!$D:$D,"帮扶车间（特色手工基地）建设")</f>
        <v>0</v>
      </c>
      <c r="G44" s="62">
        <f>SUMIFS(项目库明细总表!K:K,项目库明细总表!$D:$D,"帮扶车间（特色手工基地）建设")</f>
        <v>0</v>
      </c>
      <c r="H44" s="63"/>
    </row>
    <row r="45" s="45" customFormat="1" ht="22" customHeight="1" spans="1:8">
      <c r="A45" s="59"/>
      <c r="B45" s="59"/>
      <c r="C45" s="61" t="s">
        <v>54</v>
      </c>
      <c r="D45" s="62">
        <f>COUNTIFS(项目库明细总表!D:D,"技能培训")</f>
        <v>0</v>
      </c>
      <c r="E45" s="62">
        <f t="shared" si="13"/>
        <v>0</v>
      </c>
      <c r="F45" s="62">
        <f>SUMIFS(项目库明细总表!J:J,项目库明细总表!$D:$D,"技能培训")</f>
        <v>0</v>
      </c>
      <c r="G45" s="62">
        <f>SUMIFS(项目库明细总表!K:K,项目库明细总表!$D:$D,"技能培训")</f>
        <v>0</v>
      </c>
      <c r="H45" s="63"/>
    </row>
    <row r="46" s="45" customFormat="1" ht="22" customHeight="1" spans="1:8">
      <c r="A46" s="59"/>
      <c r="B46" s="59"/>
      <c r="C46" s="61" t="s">
        <v>55</v>
      </c>
      <c r="D46" s="62">
        <f>COUNTIFS(项目库明细总表!D:D,"以工代训")</f>
        <v>0</v>
      </c>
      <c r="E46" s="62">
        <f t="shared" si="13"/>
        <v>0</v>
      </c>
      <c r="F46" s="62">
        <f>SUMIFS(项目库明细总表!J:J,项目库明细总表!$D:$D,"以工代训")</f>
        <v>0</v>
      </c>
      <c r="G46" s="62">
        <f>SUMIFS(项目库明细总表!K:K,项目库明细总表!$D:$D,"以工代训")</f>
        <v>0</v>
      </c>
      <c r="H46" s="63"/>
    </row>
    <row r="47" s="45" customFormat="1" ht="22" customHeight="1" spans="1:8">
      <c r="A47" s="59" t="s">
        <v>48</v>
      </c>
      <c r="B47" s="59" t="s">
        <v>56</v>
      </c>
      <c r="C47" s="55" t="s">
        <v>16</v>
      </c>
      <c r="D47" s="62">
        <f t="shared" ref="D47:G47" si="15">D48+D49</f>
        <v>1</v>
      </c>
      <c r="E47" s="62">
        <f t="shared" si="15"/>
        <v>20</v>
      </c>
      <c r="F47" s="62">
        <f t="shared" si="15"/>
        <v>20</v>
      </c>
      <c r="G47" s="62">
        <f t="shared" si="15"/>
        <v>0</v>
      </c>
      <c r="H47" s="63"/>
    </row>
    <row r="48" s="45" customFormat="1" ht="22" customHeight="1" spans="1:8">
      <c r="A48" s="59"/>
      <c r="B48" s="59"/>
      <c r="C48" s="61" t="s">
        <v>57</v>
      </c>
      <c r="D48" s="62">
        <f>COUNTIFS(项目库明细总表!D:D,"创业培训")</f>
        <v>1</v>
      </c>
      <c r="E48" s="62">
        <f t="shared" ref="E48:E53" si="16">F48+G48</f>
        <v>20</v>
      </c>
      <c r="F48" s="62">
        <f>SUMIFS(项目库明细总表!J:J,项目库明细总表!$D:$D,"创业培训")</f>
        <v>20</v>
      </c>
      <c r="G48" s="62">
        <f>SUMIFS(项目库明细总表!K:K,项目库明细总表!$D:$D,"创业培训")</f>
        <v>0</v>
      </c>
      <c r="H48" s="63"/>
    </row>
    <row r="49" s="45" customFormat="1" ht="22" customHeight="1" spans="1:8">
      <c r="A49" s="59"/>
      <c r="B49" s="59"/>
      <c r="C49" s="64" t="s">
        <v>58</v>
      </c>
      <c r="D49" s="62">
        <f>COUNTIFS(项目库明细总表!D:D,"创业奖补")</f>
        <v>0</v>
      </c>
      <c r="E49" s="62">
        <f t="shared" si="16"/>
        <v>0</v>
      </c>
      <c r="F49" s="62">
        <f>SUMIFS(项目库明细总表!J:J,项目库明细总表!$D:$D,"创业奖补")</f>
        <v>0</v>
      </c>
      <c r="G49" s="62">
        <f>SUMIFS(项目库明细总表!K:K,项目库明细总表!$D:$D,"创业奖补")</f>
        <v>0</v>
      </c>
      <c r="H49" s="63"/>
    </row>
    <row r="50" s="45" customFormat="1" ht="22" customHeight="1" spans="1:8">
      <c r="A50" s="59"/>
      <c r="B50" s="59" t="s">
        <v>59</v>
      </c>
      <c r="C50" s="55" t="s">
        <v>16</v>
      </c>
      <c r="D50" s="62">
        <f t="shared" ref="D50:G50" si="17">SUM(D51:D53)</f>
        <v>0</v>
      </c>
      <c r="E50" s="62">
        <f t="shared" si="17"/>
        <v>0</v>
      </c>
      <c r="F50" s="62">
        <f t="shared" si="17"/>
        <v>0</v>
      </c>
      <c r="G50" s="62">
        <f t="shared" si="17"/>
        <v>0</v>
      </c>
      <c r="H50" s="63"/>
    </row>
    <row r="51" s="45" customFormat="1" ht="22" customHeight="1" spans="1:8">
      <c r="A51" s="59"/>
      <c r="B51" s="59"/>
      <c r="C51" s="64" t="s">
        <v>60</v>
      </c>
      <c r="D51" s="62">
        <f>COUNTIFS(项目库明细总表!D:D,"乡村工匠培育培训")</f>
        <v>0</v>
      </c>
      <c r="E51" s="62">
        <f t="shared" si="16"/>
        <v>0</v>
      </c>
      <c r="F51" s="62">
        <f>SUMIFS(项目库明细总表!J:J,项目库明细总表!$D:$D,"乡村工匠培育培训")</f>
        <v>0</v>
      </c>
      <c r="G51" s="62">
        <f>SUMIFS(项目库明细总表!K:K,项目库明细总表!$D:$D,"乡村工匠培育培训")</f>
        <v>0</v>
      </c>
      <c r="H51" s="63"/>
    </row>
    <row r="52" s="45" customFormat="1" ht="22" customHeight="1" spans="1:8">
      <c r="A52" s="59"/>
      <c r="B52" s="59"/>
      <c r="C52" s="64" t="s">
        <v>61</v>
      </c>
      <c r="D52" s="62">
        <f>COUNTIFS(项目库明细总表!D:D,"乡村工匠大师工作室")</f>
        <v>0</v>
      </c>
      <c r="E52" s="62">
        <f t="shared" si="16"/>
        <v>0</v>
      </c>
      <c r="F52" s="62">
        <f>SUMIFS(项目库明细总表!J:J,项目库明细总表!$D:$D,"乡村工匠大师工作室")</f>
        <v>0</v>
      </c>
      <c r="G52" s="62">
        <f>SUMIFS(项目库明细总表!K:K,项目库明细总表!$D:$D,"乡村工匠大师工作室")</f>
        <v>0</v>
      </c>
      <c r="H52" s="63"/>
    </row>
    <row r="53" s="45" customFormat="1" ht="22" customHeight="1" spans="1:8">
      <c r="A53" s="59"/>
      <c r="B53" s="59"/>
      <c r="C53" s="64" t="s">
        <v>62</v>
      </c>
      <c r="D53" s="62">
        <f>COUNTIFS(项目库明细总表!D:D,"乡村工匠传习所")</f>
        <v>0</v>
      </c>
      <c r="E53" s="62">
        <f t="shared" si="16"/>
        <v>0</v>
      </c>
      <c r="F53" s="62">
        <f>SUMIFS(项目库明细总表!J:J,项目库明细总表!$D:$D,"乡村工匠传习所")</f>
        <v>0</v>
      </c>
      <c r="G53" s="62">
        <f>SUMIFS(项目库明细总表!K:K,项目库明细总表!$D:$D,"乡村工匠传习所")</f>
        <v>0</v>
      </c>
      <c r="H53" s="63"/>
    </row>
    <row r="54" s="45" customFormat="1" ht="22" customHeight="1" spans="1:8">
      <c r="A54" s="59"/>
      <c r="B54" s="60" t="s">
        <v>63</v>
      </c>
      <c r="C54" s="55" t="s">
        <v>16</v>
      </c>
      <c r="D54" s="62">
        <f t="shared" ref="D54:G54" si="18">D55</f>
        <v>0</v>
      </c>
      <c r="E54" s="62">
        <f t="shared" si="18"/>
        <v>0</v>
      </c>
      <c r="F54" s="62">
        <f t="shared" si="18"/>
        <v>0</v>
      </c>
      <c r="G54" s="62">
        <f t="shared" si="18"/>
        <v>0</v>
      </c>
      <c r="H54" s="63"/>
    </row>
    <row r="55" s="45" customFormat="1" ht="22" customHeight="1" spans="1:8">
      <c r="A55" s="59"/>
      <c r="B55" s="60"/>
      <c r="C55" s="65" t="s">
        <v>63</v>
      </c>
      <c r="D55" s="62">
        <f>COUNTIFS(项目库明细总表!D:D,"公益性岗位")</f>
        <v>0</v>
      </c>
      <c r="E55" s="62">
        <f t="shared" ref="E55:E65" si="19">F55+G55</f>
        <v>0</v>
      </c>
      <c r="F55" s="62">
        <f>SUMIFS(项目库明细总表!J:J,项目库明细总表!$D:$D,"公益性岗位")</f>
        <v>0</v>
      </c>
      <c r="G55" s="62">
        <f>SUMIFS(项目库明细总表!K:K,项目库明细总表!$D:$D,"公益性岗位")</f>
        <v>0</v>
      </c>
      <c r="H55" s="63"/>
    </row>
    <row r="56" s="45" customFormat="1" ht="22" customHeight="1" spans="1:8">
      <c r="A56" s="60" t="s">
        <v>64</v>
      </c>
      <c r="B56" s="55" t="s">
        <v>14</v>
      </c>
      <c r="C56" s="55"/>
      <c r="D56" s="62">
        <f t="shared" ref="D56:G56" si="20">D57+D66+D71+D78</f>
        <v>274</v>
      </c>
      <c r="E56" s="62">
        <f t="shared" si="20"/>
        <v>15679.0026</v>
      </c>
      <c r="F56" s="62">
        <f t="shared" si="20"/>
        <v>15554.0026</v>
      </c>
      <c r="G56" s="62">
        <f t="shared" si="20"/>
        <v>125</v>
      </c>
      <c r="H56" s="63"/>
    </row>
    <row r="57" s="45" customFormat="1" ht="22" customHeight="1" spans="1:8">
      <c r="A57" s="60"/>
      <c r="B57" s="59" t="s">
        <v>65</v>
      </c>
      <c r="C57" s="55" t="s">
        <v>16</v>
      </c>
      <c r="D57" s="62">
        <f t="shared" ref="D57:G57" si="21">SUM(D58:D65)</f>
        <v>184</v>
      </c>
      <c r="E57" s="62">
        <f t="shared" si="21"/>
        <v>11791.29</v>
      </c>
      <c r="F57" s="62">
        <f t="shared" si="21"/>
        <v>11716.29</v>
      </c>
      <c r="G57" s="62">
        <f t="shared" si="21"/>
        <v>75</v>
      </c>
      <c r="H57" s="63"/>
    </row>
    <row r="58" s="45" customFormat="1" ht="22" customHeight="1" spans="1:8">
      <c r="A58" s="60"/>
      <c r="B58" s="59"/>
      <c r="C58" s="65" t="s">
        <v>66</v>
      </c>
      <c r="D58" s="62">
        <f>COUNTIFS(项目库明细总表!D:D,"农村道路建设（通村路、通户路、小型桥梁等）")</f>
        <v>63</v>
      </c>
      <c r="E58" s="62">
        <f t="shared" si="19"/>
        <v>4451.31</v>
      </c>
      <c r="F58" s="62">
        <f>SUMIFS(项目库明细总表!J:J,项目库明细总表!$D:$D,"农村道路建设（通村路、通户路、小型桥梁等）")</f>
        <v>4376.31</v>
      </c>
      <c r="G58" s="62">
        <f>SUMIFS(项目库明细总表!K:K,项目库明细总表!$D:$D,"农村道路建设（通村路、通户路、小型桥梁等）")</f>
        <v>75</v>
      </c>
      <c r="H58" s="63"/>
    </row>
    <row r="59" s="45" customFormat="1" ht="22" customHeight="1" spans="1:8">
      <c r="A59" s="60"/>
      <c r="B59" s="59"/>
      <c r="C59" s="61" t="s">
        <v>67</v>
      </c>
      <c r="D59" s="62">
        <f>COUNTIFS(项目库明细总表!D:D,"产业路、资源路、旅游路建设")</f>
        <v>50</v>
      </c>
      <c r="E59" s="62">
        <f t="shared" si="19"/>
        <v>3146.61</v>
      </c>
      <c r="F59" s="62">
        <f>SUMIFS(项目库明细总表!J:J,项目库明细总表!$D:$D,"产业路、资源路、旅游路建设")</f>
        <v>3146.61</v>
      </c>
      <c r="G59" s="62">
        <f>SUMIFS(项目库明细总表!K:K,项目库明细总表!$D:$D,"产业路、资源路、旅游路建设")</f>
        <v>0</v>
      </c>
      <c r="H59" s="63"/>
    </row>
    <row r="60" s="45" customFormat="1" ht="22" customHeight="1" spans="1:8">
      <c r="A60" s="60"/>
      <c r="B60" s="59"/>
      <c r="C60" s="61" t="s">
        <v>68</v>
      </c>
      <c r="D60" s="62">
        <f>COUNTIFS(项目库明细总表!D:D,"农村供水保障设施建设")</f>
        <v>67</v>
      </c>
      <c r="E60" s="62">
        <f t="shared" si="19"/>
        <v>4057.97</v>
      </c>
      <c r="F60" s="62">
        <f>SUMIFS(项目库明细总表!J:J,项目库明细总表!$D:$D,"农村供水保障设施建设")</f>
        <v>4057.97</v>
      </c>
      <c r="G60" s="62">
        <f>SUMIFS(项目库明细总表!K:K,项目库明细总表!$D:$D,"农村供水保障设施建设")</f>
        <v>0</v>
      </c>
      <c r="H60" s="63"/>
    </row>
    <row r="61" s="45" customFormat="1" ht="33" customHeight="1" spans="1:8">
      <c r="A61" s="60"/>
      <c r="B61" s="59"/>
      <c r="C61" s="65" t="s">
        <v>69</v>
      </c>
      <c r="D61" s="62">
        <f>COUNTIFS(项目库明细总表!D:D,"农村电网建设（通生产、生活用电、提高综合电压和供电可靠性）")</f>
        <v>2</v>
      </c>
      <c r="E61" s="62">
        <f t="shared" si="19"/>
        <v>29</v>
      </c>
      <c r="F61" s="62">
        <f>SUMIFS(项目库明细总表!J:J,项目库明细总表!$D:$D,"农村电网建设（通生产、生活用电、提高综合电压和供电可靠性）")</f>
        <v>29</v>
      </c>
      <c r="G61" s="62">
        <f>SUMIFS(项目库明细总表!K:K,项目库明细总表!$D:$D,"农村电网建设（通生产、生活用电、提高综合电压和供电可靠性）")</f>
        <v>0</v>
      </c>
      <c r="H61" s="63"/>
    </row>
    <row r="62" s="45" customFormat="1" ht="34" customHeight="1" spans="1:8">
      <c r="A62" s="60"/>
      <c r="B62" s="59"/>
      <c r="C62" s="61" t="s">
        <v>70</v>
      </c>
      <c r="D62" s="62">
        <f>COUNTIFS(项目库明细总表!D:D,"数字乡村建设（信息通信基础设施建设、数字化、智能化建设等）")</f>
        <v>0</v>
      </c>
      <c r="E62" s="62">
        <f t="shared" si="19"/>
        <v>0</v>
      </c>
      <c r="F62" s="62">
        <f>SUMIFS(项目库明细总表!J:J,项目库明细总表!$D:$D,"数字乡村建设（信息通信基础设施建设、数字化、智能化建设等）")</f>
        <v>0</v>
      </c>
      <c r="G62" s="62">
        <f>SUMIFS(项目库明细总表!K:K,项目库明细总表!$D:$D,"数字乡村建设（信息通信基础设施建设、数字化、智能化建设等）")</f>
        <v>0</v>
      </c>
      <c r="H62" s="63"/>
    </row>
    <row r="63" s="45" customFormat="1" ht="37" customHeight="1" spans="1:8">
      <c r="A63" s="60"/>
      <c r="B63" s="59" t="s">
        <v>65</v>
      </c>
      <c r="C63" s="64" t="s">
        <v>71</v>
      </c>
      <c r="D63" s="62">
        <f>COUNTIFS(项目库明细总表!D:D,"农村清洁能源设施建设（燃气、户用光伏、风电、水电、农村生物质能源、北方地区清洁取暖等）")</f>
        <v>0</v>
      </c>
      <c r="E63" s="62">
        <f t="shared" si="19"/>
        <v>0</v>
      </c>
      <c r="F63" s="62">
        <f>SUMIFS(项目库明细总表!J:J,项目库明细总表!$D:$D,"农村清洁能源设施建设（燃气、户用光伏、风电、水电、农村生物质能源、北方地区清洁取暖等）")</f>
        <v>0</v>
      </c>
      <c r="G63" s="62">
        <f>SUMIFS(项目库明细总表!K:K,项目库明细总表!$D:$D,"农村清洁能源设施建设（燃气、户用光伏、风电、水电、农村生物质能源、北方地区清洁取暖等）")</f>
        <v>0</v>
      </c>
      <c r="H63" s="63"/>
    </row>
    <row r="64" s="45" customFormat="1" ht="22" customHeight="1" spans="1:8">
      <c r="A64" s="60"/>
      <c r="B64" s="59"/>
      <c r="C64" s="64" t="s">
        <v>72</v>
      </c>
      <c r="D64" s="62">
        <f>COUNTIFS(项目库明细总表!D:D,"农业农村基础设施中长期贷款贴息")</f>
        <v>0</v>
      </c>
      <c r="E64" s="62">
        <f t="shared" si="19"/>
        <v>0</v>
      </c>
      <c r="F64" s="62">
        <f>SUMIFS(项目库明细总表!J:J,项目库明细总表!$D:$D,"农业农村基础设施中长期贷款贴息")</f>
        <v>0</v>
      </c>
      <c r="G64" s="62">
        <f>SUMIFS(项目库明细总表!K:K,项目库明细总表!$D:$D,"农业农村基础设施中长期贷款贴息")</f>
        <v>0</v>
      </c>
      <c r="H64" s="63"/>
    </row>
    <row r="65" s="45" customFormat="1" ht="22" customHeight="1" spans="1:8">
      <c r="A65" s="60"/>
      <c r="B65" s="59"/>
      <c r="C65" s="64" t="s">
        <v>41</v>
      </c>
      <c r="D65" s="62">
        <f>COUNTIFS(项目库明细总表!B:B,"乡村建设行动",项目库明细总表!D:D,"其他")</f>
        <v>2</v>
      </c>
      <c r="E65" s="62">
        <f t="shared" si="19"/>
        <v>106.4</v>
      </c>
      <c r="F65" s="62">
        <f>SUMIFS(项目库明细总表!J:J,项目库明细总表!$B:$B,"乡村建设行动",项目库明细总表!$D:$D,"其他")</f>
        <v>106.4</v>
      </c>
      <c r="G65" s="62">
        <f>SUMIFS(项目库明细总表!K:K,项目库明细总表!$B:$B,"乡村建设行动",项目库明细总表!$D:$D,"其他")</f>
        <v>0</v>
      </c>
      <c r="H65" s="63"/>
    </row>
    <row r="66" s="45" customFormat="1" ht="22" customHeight="1" spans="1:8">
      <c r="A66" s="60"/>
      <c r="B66" s="59" t="s">
        <v>73</v>
      </c>
      <c r="C66" s="55" t="s">
        <v>16</v>
      </c>
      <c r="D66" s="62">
        <f t="shared" ref="D66:G66" si="22">SUM(D67:D70)</f>
        <v>48</v>
      </c>
      <c r="E66" s="62">
        <f t="shared" si="22"/>
        <v>2860.5226</v>
      </c>
      <c r="F66" s="62">
        <f t="shared" si="22"/>
        <v>2810.5226</v>
      </c>
      <c r="G66" s="62">
        <f t="shared" si="22"/>
        <v>50</v>
      </c>
      <c r="H66" s="63"/>
    </row>
    <row r="67" s="45" customFormat="1" ht="22" customHeight="1" spans="1:8">
      <c r="A67" s="60"/>
      <c r="B67" s="59"/>
      <c r="C67" s="61" t="s">
        <v>74</v>
      </c>
      <c r="D67" s="62">
        <f>COUNTIFS(项目库明细总表!D:D,"农村卫生厕所改造（户用、公共厕所）")</f>
        <v>2</v>
      </c>
      <c r="E67" s="62">
        <f t="shared" ref="E67:E70" si="23">F67+G67</f>
        <v>92</v>
      </c>
      <c r="F67" s="62">
        <f>SUMIFS(项目库明细总表!J:J,项目库明细总表!$D:$D,"农村卫生厕所改造（户用、公共厕所）")</f>
        <v>92</v>
      </c>
      <c r="G67" s="62">
        <f>SUMIFS(项目库明细总表!K:K,项目库明细总表!$D:$D,"农村卫生厕所改造（户用、公共厕所）")</f>
        <v>0</v>
      </c>
      <c r="H67" s="63"/>
    </row>
    <row r="68" s="45" customFormat="1" ht="22" customHeight="1" spans="1:8">
      <c r="A68" s="60"/>
      <c r="B68" s="59"/>
      <c r="C68" s="61" t="s">
        <v>75</v>
      </c>
      <c r="D68" s="62">
        <f>COUNTIFS(项目库明细总表!D:D,"农村污水治理")</f>
        <v>2</v>
      </c>
      <c r="E68" s="62">
        <f t="shared" si="23"/>
        <v>39.6926</v>
      </c>
      <c r="F68" s="62">
        <f>SUMIFS(项目库明细总表!J:J,项目库明细总表!$D:$D,"农村污水治理")</f>
        <v>39.6926</v>
      </c>
      <c r="G68" s="62">
        <f>SUMIFS(项目库明细总表!K:K,项目库明细总表!$D:$D,"农村污水治理")</f>
        <v>0</v>
      </c>
      <c r="H68" s="63"/>
    </row>
    <row r="69" s="45" customFormat="1" ht="22" customHeight="1" spans="1:8">
      <c r="A69" s="60"/>
      <c r="B69" s="59"/>
      <c r="C69" s="61" t="s">
        <v>76</v>
      </c>
      <c r="D69" s="62">
        <f>COUNTIFS(项目库明细总表!D:D,"农村垃圾治理")</f>
        <v>4</v>
      </c>
      <c r="E69" s="62">
        <f t="shared" si="23"/>
        <v>55.5</v>
      </c>
      <c r="F69" s="62">
        <f>SUMIFS(项目库明细总表!J:J,项目库明细总表!$D:$D,"农村垃圾治理")</f>
        <v>55.5</v>
      </c>
      <c r="G69" s="62">
        <f>SUMIFS(项目库明细总表!K:K,项目库明细总表!$D:$D,"农村垃圾治理")</f>
        <v>0</v>
      </c>
      <c r="H69" s="63"/>
    </row>
    <row r="70" s="45" customFormat="1" ht="22" customHeight="1" spans="1:8">
      <c r="A70" s="60"/>
      <c r="B70" s="59"/>
      <c r="C70" s="61" t="s">
        <v>77</v>
      </c>
      <c r="D70" s="62">
        <f>COUNTIFS(项目库明细总表!D:D,"村容村貌提升")</f>
        <v>40</v>
      </c>
      <c r="E70" s="62">
        <f t="shared" si="23"/>
        <v>2673.33</v>
      </c>
      <c r="F70" s="62">
        <f>SUMIFS(项目库明细总表!J:J,项目库明细总表!$D:$D,"村容村貌提升")</f>
        <v>2623.33</v>
      </c>
      <c r="G70" s="62">
        <f>SUMIFS(项目库明细总表!K:K,项目库明细总表!$D:$D,"村容村貌提升")</f>
        <v>50</v>
      </c>
      <c r="H70" s="63"/>
    </row>
    <row r="71" s="45" customFormat="1" ht="22" customHeight="1" spans="1:8">
      <c r="A71" s="60"/>
      <c r="B71" s="59" t="s">
        <v>78</v>
      </c>
      <c r="C71" s="55" t="s">
        <v>16</v>
      </c>
      <c r="D71" s="62">
        <f t="shared" ref="D71:G71" si="24">SUM(D72:D77)</f>
        <v>42</v>
      </c>
      <c r="E71" s="62">
        <f t="shared" si="24"/>
        <v>1027.19</v>
      </c>
      <c r="F71" s="62">
        <f t="shared" si="24"/>
        <v>1027.19</v>
      </c>
      <c r="G71" s="62">
        <f t="shared" si="24"/>
        <v>0</v>
      </c>
      <c r="H71" s="63"/>
    </row>
    <row r="72" s="45" customFormat="1" ht="22" customHeight="1" spans="1:8">
      <c r="A72" s="60"/>
      <c r="B72" s="59"/>
      <c r="C72" s="65" t="s">
        <v>79</v>
      </c>
      <c r="D72" s="62">
        <f>COUNTIFS(项目库明细总表!D:D,"学校建设或改造（含幼儿园）")</f>
        <v>0</v>
      </c>
      <c r="E72" s="62">
        <f t="shared" ref="E72:E78" si="25">F72+G72</f>
        <v>0</v>
      </c>
      <c r="F72" s="62">
        <f>SUMIFS(项目库明细总表!J:J,项目库明细总表!$D:$D,"学校建设或改造（含幼儿园）")</f>
        <v>0</v>
      </c>
      <c r="G72" s="62">
        <f>SUMIFS(项目库明细总表!K:K,项目库明细总表!$D:$D,"学校建设或改造（含幼儿园）")</f>
        <v>0</v>
      </c>
      <c r="H72" s="63"/>
    </row>
    <row r="73" s="45" customFormat="1" ht="24" customHeight="1" spans="1:8">
      <c r="A73" s="60"/>
      <c r="B73" s="59"/>
      <c r="C73" s="61" t="s">
        <v>80</v>
      </c>
      <c r="D73" s="62">
        <f>COUNTIFS(项目库明细总表!D:D,"村卫生室标准化建设")</f>
        <v>0</v>
      </c>
      <c r="E73" s="62">
        <f t="shared" si="25"/>
        <v>0</v>
      </c>
      <c r="F73" s="62">
        <f>SUMIFS(项目库明细总表!J:J,项目库明细总表!$D:$D,"村卫生室标准化建设")</f>
        <v>0</v>
      </c>
      <c r="G73" s="62">
        <f>SUMIFS(项目库明细总表!K:K,项目库明细总表!$D:$D,"村卫生室标准化建设")</f>
        <v>0</v>
      </c>
      <c r="H73" s="63"/>
    </row>
    <row r="74" s="45" customFormat="1" ht="26" customHeight="1" spans="1:8">
      <c r="A74" s="60"/>
      <c r="B74" s="59"/>
      <c r="C74" s="61" t="s">
        <v>81</v>
      </c>
      <c r="D74" s="62">
        <f>COUNTIFS(项目库明细总表!D:D,"农村养老设施建设（养老院、幸福院、日间照料中心等）")</f>
        <v>0</v>
      </c>
      <c r="E74" s="62">
        <f t="shared" si="25"/>
        <v>0</v>
      </c>
      <c r="F74" s="62">
        <f>SUMIFS(项目库明细总表!J:J,项目库明细总表!$D:$D,"农村养老设施建设（养老院、幸福院、日间照料中心等）")</f>
        <v>0</v>
      </c>
      <c r="G74" s="62">
        <f>SUMIFS(项目库明细总表!K:K,项目库明细总表!$D:$D,"农村养老设施建设（养老院、幸福院、日间照料中心等）")</f>
        <v>0</v>
      </c>
      <c r="H74" s="63"/>
    </row>
    <row r="75" s="45" customFormat="1" ht="28" customHeight="1" spans="1:8">
      <c r="A75" s="60"/>
      <c r="B75" s="59"/>
      <c r="C75" s="61" t="s">
        <v>82</v>
      </c>
      <c r="D75" s="62">
        <f>COUNTIFS(项目库明细总表!D:D,"公共照明设施")</f>
        <v>42</v>
      </c>
      <c r="E75" s="62">
        <f t="shared" si="25"/>
        <v>1027.19</v>
      </c>
      <c r="F75" s="62">
        <f>SUMIFS(项目库明细总表!J:J,项目库明细总表!$D:$D,"公共照明设施")</f>
        <v>1027.19</v>
      </c>
      <c r="G75" s="62">
        <f>SUMIFS(项目库明细总表!K:K,项目库明细总表!$D:$D,"公共照明设施")</f>
        <v>0</v>
      </c>
      <c r="H75" s="63"/>
    </row>
    <row r="76" s="45" customFormat="1" ht="28" customHeight="1" spans="1:8">
      <c r="A76" s="60"/>
      <c r="B76" s="59"/>
      <c r="C76" s="61" t="s">
        <v>83</v>
      </c>
      <c r="D76" s="62">
        <f>COUNTIFS(项目库明细总表!D:D,"开展县乡村公共服务一体化示范创建")</f>
        <v>0</v>
      </c>
      <c r="E76" s="62">
        <f t="shared" si="25"/>
        <v>0</v>
      </c>
      <c r="F76" s="62">
        <f>SUMIFS(项目库明细总表!J:J,项目库明细总表!$D:$D,"开展县乡村公共服务一体化示范创建")</f>
        <v>0</v>
      </c>
      <c r="G76" s="62">
        <f>SUMIFS(项目库明细总表!K:K,项目库明细总表!$D:$D,"开展县乡村公共服务一体化示范创建")</f>
        <v>0</v>
      </c>
      <c r="H76" s="63"/>
    </row>
    <row r="77" s="45" customFormat="1" ht="45" customHeight="1" spans="1:8">
      <c r="A77" s="60"/>
      <c r="B77" s="59"/>
      <c r="C77" s="61" t="s">
        <v>84</v>
      </c>
      <c r="D77" s="62">
        <f>COUNTIFS(项目库明细总表!D:D,"其他（便民综合服务设施、文化活动广场、体育设施、村级客运站、农村公益性殡葬设施建设等）")</f>
        <v>0</v>
      </c>
      <c r="E77" s="62">
        <f t="shared" si="25"/>
        <v>0</v>
      </c>
      <c r="F77" s="62">
        <f>SUMIFS(项目库明细总表!J:J,项目库明细总表!$D:$D,"其他（便民综合服务设施、文化活动广场、体育设施、村级客运站、农村公益性殡葬设施建设等）")</f>
        <v>0</v>
      </c>
      <c r="G77" s="62">
        <f>SUMIFS(项目库明细总表!K:K,项目库明细总表!$D:$D,"其他（便民综合服务设施、文化活动广场、体育设施、村级客运站、农村公益性殡葬设施建设等）")</f>
        <v>0</v>
      </c>
      <c r="H77" s="63"/>
    </row>
    <row r="78" s="45" customFormat="1" ht="37" customHeight="1" spans="1:8">
      <c r="A78" s="60"/>
      <c r="B78" s="59" t="s">
        <v>85</v>
      </c>
      <c r="C78" s="61" t="s">
        <v>85</v>
      </c>
      <c r="D78" s="62">
        <f>COUNTIFS(项目库明细总表!D:D,"村庄规划编制（含修编）")</f>
        <v>0</v>
      </c>
      <c r="E78" s="62">
        <f t="shared" si="25"/>
        <v>0</v>
      </c>
      <c r="F78" s="62">
        <f>SUMIFS(项目库明细总表!J:J,项目库明细总表!$D:$D,"村庄规划编制（含修编）")</f>
        <v>0</v>
      </c>
      <c r="G78" s="62">
        <f>SUMIFS(项目库明细总表!K:K,项目库明细总表!$D:$D,"村庄规划编制（含修编）")</f>
        <v>0</v>
      </c>
      <c r="H78" s="63"/>
    </row>
    <row r="79" s="45" customFormat="1" ht="22" customHeight="1" spans="1:8">
      <c r="A79" s="60" t="s">
        <v>86</v>
      </c>
      <c r="B79" s="55" t="s">
        <v>14</v>
      </c>
      <c r="C79" s="55"/>
      <c r="D79" s="62">
        <f t="shared" ref="D79:G79" si="26">SUM(D80:D82)</f>
        <v>2</v>
      </c>
      <c r="E79" s="62">
        <f t="shared" si="26"/>
        <v>72.5</v>
      </c>
      <c r="F79" s="62">
        <f t="shared" si="26"/>
        <v>72.5</v>
      </c>
      <c r="G79" s="62">
        <f t="shared" si="26"/>
        <v>0</v>
      </c>
      <c r="H79" s="63"/>
    </row>
    <row r="80" s="45" customFormat="1" ht="22" customHeight="1" spans="1:8">
      <c r="A80" s="60"/>
      <c r="B80" s="60" t="s">
        <v>86</v>
      </c>
      <c r="C80" s="61" t="s">
        <v>87</v>
      </c>
      <c r="D80" s="62">
        <f>COUNTIFS(项目库明细总表!D:D,"公共服务岗位")</f>
        <v>1</v>
      </c>
      <c r="E80" s="62">
        <f t="shared" ref="E80:E82" si="27">F80+G80</f>
        <v>16.5</v>
      </c>
      <c r="F80" s="62">
        <f>SUMIFS(项目库明细总表!J:J,项目库明细总表!$D:$D,"公共服务岗位")</f>
        <v>16.5</v>
      </c>
      <c r="G80" s="62">
        <f>SUMIFS(项目库明细总表!K:K,项目库明细总表!$D:$D,"公共服务岗位")</f>
        <v>0</v>
      </c>
      <c r="H80" s="63"/>
    </row>
    <row r="81" s="45" customFormat="1" ht="22" customHeight="1" spans="1:8">
      <c r="A81" s="60"/>
      <c r="B81" s="60"/>
      <c r="C81" s="61" t="s">
        <v>88</v>
      </c>
      <c r="D81" s="62">
        <f>COUNTIFS(项目库明细总表!D:D,"“一站式”社区综合服务设施建设")</f>
        <v>1</v>
      </c>
      <c r="E81" s="62">
        <f t="shared" si="27"/>
        <v>56</v>
      </c>
      <c r="F81" s="62">
        <f>SUMIFS(项目库明细总表!J:J,项目库明细总表!$D:$D,"“一站式”社区综合服务设施建设")</f>
        <v>56</v>
      </c>
      <c r="G81" s="62">
        <f>SUMIFS(项目库明细总表!K:K,项目库明细总表!$D:$D,"“一站式”社区综合服务设施建设")</f>
        <v>0</v>
      </c>
      <c r="H81" s="63"/>
    </row>
    <row r="82" s="45" customFormat="1" ht="22" customHeight="1" spans="1:8">
      <c r="A82" s="60"/>
      <c r="B82" s="60"/>
      <c r="C82" s="64" t="s">
        <v>89</v>
      </c>
      <c r="D82" s="62">
        <f>COUNTIFS(项目库明细总表!D:D,"易地扶贫搬迁贷款债券贴息补助")</f>
        <v>0</v>
      </c>
      <c r="E82" s="62">
        <f t="shared" si="27"/>
        <v>0</v>
      </c>
      <c r="F82" s="62">
        <f>SUMIFS(项目库明细总表!J:J,项目库明细总表!$D:$D,"易地扶贫搬迁贷款债券贴息补助")</f>
        <v>0</v>
      </c>
      <c r="G82" s="62">
        <f>SUMIFS(项目库明细总表!K:K,项目库明细总表!$D:$D,"易地扶贫搬迁贷款债券贴息补助")</f>
        <v>0</v>
      </c>
      <c r="H82" s="63"/>
    </row>
    <row r="83" s="45" customFormat="1" ht="22" customHeight="1" spans="1:8">
      <c r="A83" s="60" t="s">
        <v>90</v>
      </c>
      <c r="B83" s="55" t="s">
        <v>14</v>
      </c>
      <c r="C83" s="55"/>
      <c r="D83" s="62">
        <f t="shared" ref="D83:G83" si="28">D84+D86+D90+D97</f>
        <v>1</v>
      </c>
      <c r="E83" s="62">
        <f t="shared" si="28"/>
        <v>42</v>
      </c>
      <c r="F83" s="62">
        <f t="shared" si="28"/>
        <v>42</v>
      </c>
      <c r="G83" s="62">
        <f t="shared" si="28"/>
        <v>0</v>
      </c>
      <c r="H83" s="63"/>
    </row>
    <row r="84" s="45" customFormat="1" ht="22" customHeight="1" spans="1:8">
      <c r="A84" s="60"/>
      <c r="B84" s="59" t="s">
        <v>91</v>
      </c>
      <c r="C84" s="55" t="s">
        <v>16</v>
      </c>
      <c r="D84" s="62"/>
      <c r="E84" s="62"/>
      <c r="F84" s="62"/>
      <c r="G84" s="62"/>
      <c r="H84" s="63"/>
    </row>
    <row r="85" s="45" customFormat="1" ht="22" customHeight="1" spans="1:8">
      <c r="A85" s="60"/>
      <c r="B85" s="59"/>
      <c r="C85" s="66" t="s">
        <v>92</v>
      </c>
      <c r="D85" s="62"/>
      <c r="E85" s="62"/>
      <c r="F85" s="62"/>
      <c r="G85" s="62"/>
      <c r="H85" s="63"/>
    </row>
    <row r="86" s="45" customFormat="1" ht="22" customHeight="1" spans="1:8">
      <c r="A86" s="60" t="s">
        <v>90</v>
      </c>
      <c r="B86" s="59" t="s">
        <v>93</v>
      </c>
      <c r="C86" s="55" t="s">
        <v>16</v>
      </c>
      <c r="D86" s="62">
        <f t="shared" ref="D86:G86" si="29">SUM(D87:D89)</f>
        <v>1</v>
      </c>
      <c r="E86" s="62">
        <f t="shared" si="29"/>
        <v>42</v>
      </c>
      <c r="F86" s="62">
        <f t="shared" si="29"/>
        <v>42</v>
      </c>
      <c r="G86" s="62">
        <f t="shared" si="29"/>
        <v>0</v>
      </c>
      <c r="H86" s="63"/>
    </row>
    <row r="87" s="45" customFormat="1" ht="22" customHeight="1" spans="1:8">
      <c r="A87" s="60"/>
      <c r="B87" s="59"/>
      <c r="C87" s="61" t="s">
        <v>94</v>
      </c>
      <c r="D87" s="62">
        <f>COUNTIFS(项目库明细总表!D:D,"享受“雨露计划”职业教育补助")</f>
        <v>1</v>
      </c>
      <c r="E87" s="62">
        <f t="shared" ref="E87:E89" si="30">F87+G87</f>
        <v>42</v>
      </c>
      <c r="F87" s="62">
        <f>SUMIFS(项目库明细总表!J:J,项目库明细总表!$D:$D,"享受“雨露计划”职业教育补助")</f>
        <v>42</v>
      </c>
      <c r="G87" s="62">
        <f>SUMIFS(项目库明细总表!K:K,项目库明细总表!$D:$D,"享受“雨露计划”职业教育补助")</f>
        <v>0</v>
      </c>
      <c r="H87" s="63"/>
    </row>
    <row r="88" s="45" customFormat="1" ht="22" customHeight="1" spans="1:8">
      <c r="A88" s="60"/>
      <c r="B88" s="59"/>
      <c r="C88" s="61" t="s">
        <v>95</v>
      </c>
      <c r="D88" s="62">
        <f>COUNTIFS(项目库明细总表!D:D,"参与“学前学会普通话”行动")</f>
        <v>0</v>
      </c>
      <c r="E88" s="62">
        <f t="shared" si="30"/>
        <v>0</v>
      </c>
      <c r="F88" s="62">
        <f>SUMIFS(项目库明细总表!J:J,项目库明细总表!$D:$D,"参与“学前学会普通话”行动")</f>
        <v>0</v>
      </c>
      <c r="G88" s="62">
        <f>SUMIFS(项目库明细总表!K:K,项目库明细总表!$D:$D,"参与“学前学会普通话”行动")</f>
        <v>0</v>
      </c>
      <c r="H88" s="63"/>
    </row>
    <row r="89" s="45" customFormat="1" ht="22" customHeight="1" spans="1:8">
      <c r="A89" s="60"/>
      <c r="B89" s="59"/>
      <c r="C89" s="61" t="s">
        <v>96</v>
      </c>
      <c r="D89" s="62">
        <f>COUNTIFS(项目库明细总表!D:D,"其他教育类项目")</f>
        <v>0</v>
      </c>
      <c r="E89" s="62">
        <f t="shared" si="30"/>
        <v>0</v>
      </c>
      <c r="F89" s="62">
        <f>SUMIFS(项目库明细总表!J:J,项目库明细总表!$D:$D,"其他教育类项目")</f>
        <v>0</v>
      </c>
      <c r="G89" s="62">
        <f>SUMIFS(项目库明细总表!K:K,项目库明细总表!$D:$D,"其他教育类项目")</f>
        <v>0</v>
      </c>
      <c r="H89" s="63"/>
    </row>
    <row r="90" s="45" customFormat="1" ht="22" customHeight="1" spans="1:8">
      <c r="A90" s="60"/>
      <c r="B90" s="59" t="s">
        <v>97</v>
      </c>
      <c r="C90" s="55" t="s">
        <v>16</v>
      </c>
      <c r="D90" s="62"/>
      <c r="E90" s="62"/>
      <c r="F90" s="62"/>
      <c r="G90" s="62"/>
      <c r="H90" s="63"/>
    </row>
    <row r="91" s="45" customFormat="1" ht="22" customHeight="1" spans="1:8">
      <c r="A91" s="60"/>
      <c r="B91" s="59"/>
      <c r="C91" s="61" t="s">
        <v>98</v>
      </c>
      <c r="D91" s="62"/>
      <c r="E91" s="62"/>
      <c r="F91" s="62"/>
      <c r="G91" s="62"/>
      <c r="H91" s="63"/>
    </row>
    <row r="92" s="45" customFormat="1" ht="22" customHeight="1" spans="1:8">
      <c r="A92" s="60"/>
      <c r="B92" s="59"/>
      <c r="C92" s="61" t="s">
        <v>99</v>
      </c>
      <c r="D92" s="62"/>
      <c r="E92" s="62"/>
      <c r="F92" s="62"/>
      <c r="G92" s="62"/>
      <c r="H92" s="63"/>
    </row>
    <row r="93" s="45" customFormat="1" ht="22" customHeight="1" spans="1:8">
      <c r="A93" s="60"/>
      <c r="B93" s="59"/>
      <c r="C93" s="61" t="s">
        <v>100</v>
      </c>
      <c r="D93" s="62"/>
      <c r="E93" s="62"/>
      <c r="F93" s="62"/>
      <c r="G93" s="62"/>
      <c r="H93" s="63"/>
    </row>
    <row r="94" s="45" customFormat="1" ht="22" customHeight="1" spans="1:8">
      <c r="A94" s="60"/>
      <c r="B94" s="59"/>
      <c r="C94" s="61" t="s">
        <v>101</v>
      </c>
      <c r="D94" s="62"/>
      <c r="E94" s="62"/>
      <c r="F94" s="62"/>
      <c r="G94" s="62"/>
      <c r="H94" s="63"/>
    </row>
    <row r="95" s="45" customFormat="1" ht="22" customHeight="1" spans="1:8">
      <c r="A95" s="60"/>
      <c r="B95" s="59"/>
      <c r="C95" s="61" t="s">
        <v>102</v>
      </c>
      <c r="D95" s="62"/>
      <c r="E95" s="62"/>
      <c r="F95" s="62"/>
      <c r="G95" s="62"/>
      <c r="H95" s="63"/>
    </row>
    <row r="96" s="45" customFormat="1" ht="22" customHeight="1" spans="1:8">
      <c r="A96" s="60"/>
      <c r="B96" s="59"/>
      <c r="C96" s="61" t="s">
        <v>103</v>
      </c>
      <c r="D96" s="62"/>
      <c r="E96" s="62"/>
      <c r="F96" s="62"/>
      <c r="G96" s="62"/>
      <c r="H96" s="63"/>
    </row>
    <row r="97" s="45" customFormat="1" ht="22" customHeight="1" spans="1:8">
      <c r="A97" s="60"/>
      <c r="B97" s="59" t="s">
        <v>104</v>
      </c>
      <c r="C97" s="55" t="s">
        <v>16</v>
      </c>
      <c r="D97" s="62"/>
      <c r="E97" s="62"/>
      <c r="F97" s="62"/>
      <c r="G97" s="62"/>
      <c r="H97" s="63"/>
    </row>
    <row r="98" s="45" customFormat="1" ht="22" customHeight="1" spans="1:8">
      <c r="A98" s="60"/>
      <c r="B98" s="59"/>
      <c r="C98" s="61" t="s">
        <v>105</v>
      </c>
      <c r="D98" s="62"/>
      <c r="E98" s="62"/>
      <c r="F98" s="62"/>
      <c r="G98" s="62"/>
      <c r="H98" s="63"/>
    </row>
    <row r="99" s="45" customFormat="1" ht="22" customHeight="1" spans="1:8">
      <c r="A99" s="60"/>
      <c r="B99" s="59"/>
      <c r="C99" s="61" t="s">
        <v>106</v>
      </c>
      <c r="D99" s="62"/>
      <c r="E99" s="62"/>
      <c r="F99" s="62"/>
      <c r="G99" s="62"/>
      <c r="H99" s="63"/>
    </row>
    <row r="100" s="45" customFormat="1" ht="22" customHeight="1" spans="1:8">
      <c r="A100" s="60"/>
      <c r="B100" s="59"/>
      <c r="C100" s="61" t="s">
        <v>107</v>
      </c>
      <c r="D100" s="62"/>
      <c r="E100" s="62"/>
      <c r="F100" s="62"/>
      <c r="G100" s="62"/>
      <c r="H100" s="63"/>
    </row>
    <row r="101" s="45" customFormat="1" ht="22" customHeight="1" spans="1:8">
      <c r="A101" s="60"/>
      <c r="B101" s="59"/>
      <c r="C101" s="61" t="s">
        <v>108</v>
      </c>
      <c r="D101" s="62"/>
      <c r="E101" s="62"/>
      <c r="F101" s="62"/>
      <c r="G101" s="62"/>
      <c r="H101" s="63"/>
    </row>
    <row r="102" s="45" customFormat="1" ht="22" customHeight="1" spans="1:8">
      <c r="A102" s="60"/>
      <c r="B102" s="59"/>
      <c r="C102" s="61" t="s">
        <v>109</v>
      </c>
      <c r="D102" s="62"/>
      <c r="E102" s="62"/>
      <c r="F102" s="62"/>
      <c r="G102" s="62"/>
      <c r="H102" s="63"/>
    </row>
    <row r="103" s="45" customFormat="1" ht="22" customHeight="1" spans="1:8">
      <c r="A103" s="60"/>
      <c r="B103" s="59"/>
      <c r="C103" s="61" t="s">
        <v>110</v>
      </c>
      <c r="D103" s="62"/>
      <c r="E103" s="62"/>
      <c r="F103" s="62"/>
      <c r="G103" s="62"/>
      <c r="H103" s="63"/>
    </row>
    <row r="104" s="45" customFormat="1" ht="22" customHeight="1" spans="1:8">
      <c r="A104" s="59" t="s">
        <v>111</v>
      </c>
      <c r="B104" s="55" t="s">
        <v>14</v>
      </c>
      <c r="C104" s="55"/>
      <c r="D104" s="62"/>
      <c r="E104" s="62"/>
      <c r="F104" s="62"/>
      <c r="G104" s="62"/>
      <c r="H104" s="63"/>
    </row>
    <row r="105" s="45" customFormat="1" ht="22" customHeight="1" spans="1:8">
      <c r="A105" s="59"/>
      <c r="B105" s="59" t="s">
        <v>112</v>
      </c>
      <c r="C105" s="55" t="s">
        <v>16</v>
      </c>
      <c r="D105" s="62"/>
      <c r="E105" s="62"/>
      <c r="F105" s="62"/>
      <c r="G105" s="62"/>
      <c r="H105" s="63"/>
    </row>
    <row r="106" s="45" customFormat="1" ht="22" customHeight="1" spans="1:8">
      <c r="A106" s="59"/>
      <c r="B106" s="59"/>
      <c r="C106" s="66" t="s">
        <v>113</v>
      </c>
      <c r="D106" s="62"/>
      <c r="E106" s="62"/>
      <c r="F106" s="62"/>
      <c r="G106" s="62"/>
      <c r="H106" s="63"/>
    </row>
    <row r="107" s="45" customFormat="1" ht="22" customHeight="1" spans="1:8">
      <c r="A107" s="59"/>
      <c r="B107" s="59"/>
      <c r="C107" s="66" t="s">
        <v>114</v>
      </c>
      <c r="D107" s="62"/>
      <c r="E107" s="62"/>
      <c r="F107" s="62"/>
      <c r="G107" s="62"/>
      <c r="H107" s="63"/>
    </row>
    <row r="108" s="45" customFormat="1" ht="22" customHeight="1" spans="1:8">
      <c r="A108" s="59"/>
      <c r="B108" s="59" t="s">
        <v>115</v>
      </c>
      <c r="C108" s="55" t="s">
        <v>16</v>
      </c>
      <c r="D108" s="62"/>
      <c r="E108" s="62"/>
      <c r="F108" s="62"/>
      <c r="G108" s="62"/>
      <c r="H108" s="63"/>
    </row>
    <row r="109" s="45" customFormat="1" ht="22" customHeight="1" spans="1:8">
      <c r="A109" s="59"/>
      <c r="B109" s="59"/>
      <c r="C109" s="66" t="s">
        <v>116</v>
      </c>
      <c r="D109" s="62"/>
      <c r="E109" s="62"/>
      <c r="F109" s="62"/>
      <c r="G109" s="62"/>
      <c r="H109" s="63"/>
    </row>
    <row r="110" s="45" customFormat="1" ht="22" customHeight="1" spans="1:8">
      <c r="A110" s="59"/>
      <c r="B110" s="59"/>
      <c r="C110" s="66" t="s">
        <v>117</v>
      </c>
      <c r="D110" s="62"/>
      <c r="E110" s="62"/>
      <c r="F110" s="62"/>
      <c r="G110" s="62"/>
      <c r="H110" s="63"/>
    </row>
    <row r="111" s="45" customFormat="1" ht="22" customHeight="1" spans="1:8">
      <c r="A111" s="59"/>
      <c r="B111" s="59"/>
      <c r="C111" s="66" t="s">
        <v>118</v>
      </c>
      <c r="D111" s="62"/>
      <c r="E111" s="62"/>
      <c r="F111" s="62"/>
      <c r="G111" s="62"/>
      <c r="H111" s="63"/>
    </row>
    <row r="112" s="45" customFormat="1" ht="22" customHeight="1" spans="1:8">
      <c r="A112" s="59"/>
      <c r="B112" s="59"/>
      <c r="C112" s="66" t="s">
        <v>119</v>
      </c>
      <c r="D112" s="62"/>
      <c r="E112" s="62"/>
      <c r="F112" s="62"/>
      <c r="G112" s="62"/>
      <c r="H112" s="63"/>
    </row>
    <row r="113" s="45" customFormat="1" ht="22" customHeight="1" spans="1:8">
      <c r="A113" s="59" t="s">
        <v>120</v>
      </c>
      <c r="B113" s="55" t="s">
        <v>14</v>
      </c>
      <c r="C113" s="55"/>
      <c r="D113" s="62">
        <f t="shared" ref="D113:G113" si="31">D114</f>
        <v>1</v>
      </c>
      <c r="E113" s="62">
        <f t="shared" si="31"/>
        <v>400</v>
      </c>
      <c r="F113" s="62">
        <f t="shared" si="31"/>
        <v>400</v>
      </c>
      <c r="G113" s="62">
        <f t="shared" si="31"/>
        <v>0</v>
      </c>
      <c r="H113" s="63"/>
    </row>
    <row r="114" s="45" customFormat="1" ht="22" customHeight="1" spans="1:8">
      <c r="A114" s="59"/>
      <c r="B114" s="59" t="s">
        <v>120</v>
      </c>
      <c r="C114" s="66" t="s">
        <v>120</v>
      </c>
      <c r="D114" s="62">
        <f>COUNTIFS(项目库明细总表!D:D,"项目管理费")</f>
        <v>1</v>
      </c>
      <c r="E114" s="62">
        <f>F114+G114</f>
        <v>400</v>
      </c>
      <c r="F114" s="62">
        <f>SUMIFS(项目库明细总表!J:J,项目库明细总表!$D:$D,"项目管理费")</f>
        <v>400</v>
      </c>
      <c r="G114" s="62">
        <f>SUMIFS(项目库明细总表!K:K,项目库明细总表!$D:$D,"项目管理费")</f>
        <v>0</v>
      </c>
      <c r="H114" s="63"/>
    </row>
    <row r="115" s="45" customFormat="1" ht="22" customHeight="1" spans="1:8">
      <c r="A115" s="60" t="s">
        <v>41</v>
      </c>
      <c r="B115" s="55" t="s">
        <v>14</v>
      </c>
      <c r="C115" s="55"/>
      <c r="D115" s="62">
        <f t="shared" ref="D115:G115" si="32">SUM(D116:D118)</f>
        <v>1</v>
      </c>
      <c r="E115" s="62">
        <f t="shared" si="32"/>
        <v>50</v>
      </c>
      <c r="F115" s="62">
        <f t="shared" si="32"/>
        <v>50</v>
      </c>
      <c r="G115" s="62">
        <f t="shared" si="32"/>
        <v>0</v>
      </c>
      <c r="H115" s="63"/>
    </row>
    <row r="116" s="45" customFormat="1" ht="22" customHeight="1" spans="1:8">
      <c r="A116" s="60"/>
      <c r="B116" s="60" t="s">
        <v>41</v>
      </c>
      <c r="C116" s="66" t="s">
        <v>121</v>
      </c>
      <c r="D116" s="62"/>
      <c r="E116" s="62"/>
      <c r="F116" s="62"/>
      <c r="G116" s="62"/>
      <c r="H116" s="63"/>
    </row>
    <row r="117" s="45" customFormat="1" ht="22" customHeight="1" spans="1:8">
      <c r="A117" s="60"/>
      <c r="B117" s="60"/>
      <c r="C117" s="61" t="s">
        <v>122</v>
      </c>
      <c r="D117" s="62"/>
      <c r="E117" s="62"/>
      <c r="F117" s="62"/>
      <c r="G117" s="62"/>
      <c r="H117" s="63"/>
    </row>
    <row r="118" s="45" customFormat="1" ht="22" customHeight="1" spans="1:8">
      <c r="A118" s="60"/>
      <c r="B118" s="60"/>
      <c r="C118" s="61" t="s">
        <v>41</v>
      </c>
      <c r="D118" s="62">
        <f>COUNTIFS(项目库明细总表!B:B,"其他",项目库明细总表!D:D,"其他")</f>
        <v>1</v>
      </c>
      <c r="E118" s="62">
        <f>F118+G118</f>
        <v>50</v>
      </c>
      <c r="F118" s="62">
        <f>SUMIFS(项目库明细总表!J:J,项目库明细总表!$B:$B,"其他",项目库明细总表!$D:$D,"其他")</f>
        <v>50</v>
      </c>
      <c r="G118" s="62">
        <f>SUMIFS(项目库明细总表!K:K,项目库明细总表!$B:$B,"其他",项目库明细总表!$D:$D,"其他")</f>
        <v>0</v>
      </c>
      <c r="H118" s="63"/>
    </row>
    <row r="119" s="45" customFormat="1" ht="16" customHeight="1" spans="1:7">
      <c r="A119" s="46"/>
      <c r="B119" s="47"/>
      <c r="C119" s="46"/>
      <c r="D119" s="48"/>
      <c r="E119" s="48"/>
      <c r="F119" s="48"/>
      <c r="G119" s="48"/>
    </row>
    <row r="120" s="45" customFormat="1" spans="1:7">
      <c r="A120" s="46"/>
      <c r="B120" s="47"/>
      <c r="C120" s="46"/>
      <c r="D120" s="48"/>
      <c r="E120" s="48"/>
      <c r="F120" s="48"/>
      <c r="G120" s="48"/>
    </row>
    <row r="121" s="45" customFormat="1" spans="1:7">
      <c r="A121" s="46"/>
      <c r="B121" s="47"/>
      <c r="C121" s="46"/>
      <c r="D121" s="48"/>
      <c r="E121" s="48"/>
      <c r="F121" s="48"/>
      <c r="G121" s="48"/>
    </row>
    <row r="122" s="45" customFormat="1" spans="1:7">
      <c r="A122" s="46"/>
      <c r="B122" s="47"/>
      <c r="C122" s="46"/>
      <c r="D122" s="48"/>
      <c r="E122" s="48"/>
      <c r="F122" s="48"/>
      <c r="G122" s="48"/>
    </row>
    <row r="123" s="45" customFormat="1" spans="1:7">
      <c r="A123" s="46"/>
      <c r="B123" s="47"/>
      <c r="C123" s="46"/>
      <c r="D123" s="48"/>
      <c r="E123" s="48"/>
      <c r="F123" s="48"/>
      <c r="G123" s="48"/>
    </row>
    <row r="124" s="45" customFormat="1" spans="1:7">
      <c r="A124" s="46"/>
      <c r="B124" s="47"/>
      <c r="C124" s="46"/>
      <c r="D124" s="48"/>
      <c r="E124" s="48"/>
      <c r="F124" s="48"/>
      <c r="G124" s="48"/>
    </row>
    <row r="125" s="45" customFormat="1" spans="1:7">
      <c r="A125" s="46"/>
      <c r="B125" s="47"/>
      <c r="C125" s="46"/>
      <c r="D125" s="48"/>
      <c r="E125" s="48"/>
      <c r="F125" s="48"/>
      <c r="G125" s="48"/>
    </row>
  </sheetData>
  <sheetProtection formatCells="0" formatColumns="0" formatRows="0" insertRows="0" insertColumns="0" insertHyperlinks="0" deleteColumns="0" deleteRows="0" sort="0" autoFilter="0" pivotTables="0"/>
  <mergeCells count="51">
    <mergeCell ref="A2:H2"/>
    <mergeCell ref="A3:D3"/>
    <mergeCell ref="G3:H3"/>
    <mergeCell ref="E4:G4"/>
    <mergeCell ref="A6:C6"/>
    <mergeCell ref="B7:C7"/>
    <mergeCell ref="B39:C39"/>
    <mergeCell ref="B56:C56"/>
    <mergeCell ref="B79:C79"/>
    <mergeCell ref="B83:C83"/>
    <mergeCell ref="B104:C104"/>
    <mergeCell ref="B113:C113"/>
    <mergeCell ref="B115:C115"/>
    <mergeCell ref="A4:A5"/>
    <mergeCell ref="A7:A38"/>
    <mergeCell ref="A39:A46"/>
    <mergeCell ref="A47:A55"/>
    <mergeCell ref="A56:A78"/>
    <mergeCell ref="A79:A82"/>
    <mergeCell ref="A83:A85"/>
    <mergeCell ref="A86:A103"/>
    <mergeCell ref="A104:A112"/>
    <mergeCell ref="A113:A114"/>
    <mergeCell ref="A115:A118"/>
    <mergeCell ref="B4:B5"/>
    <mergeCell ref="B8:B14"/>
    <mergeCell ref="B15:B19"/>
    <mergeCell ref="B20:B22"/>
    <mergeCell ref="B23:B27"/>
    <mergeCell ref="B28:B33"/>
    <mergeCell ref="B34:B38"/>
    <mergeCell ref="B40:B42"/>
    <mergeCell ref="B43:B46"/>
    <mergeCell ref="B47:B49"/>
    <mergeCell ref="B50:B53"/>
    <mergeCell ref="B54:B55"/>
    <mergeCell ref="B57:B62"/>
    <mergeCell ref="B63:B65"/>
    <mergeCell ref="B66:B70"/>
    <mergeCell ref="B71:B77"/>
    <mergeCell ref="B80:B82"/>
    <mergeCell ref="B84:B85"/>
    <mergeCell ref="B86:B89"/>
    <mergeCell ref="B90:B96"/>
    <mergeCell ref="B97:B103"/>
    <mergeCell ref="B105:B107"/>
    <mergeCell ref="B108:B112"/>
    <mergeCell ref="B116:B118"/>
    <mergeCell ref="C4:C5"/>
    <mergeCell ref="D4:D5"/>
    <mergeCell ref="H4:H5"/>
  </mergeCells>
  <printOptions horizontalCentered="1"/>
  <pageMargins left="0.554861111111111" right="0.554861111111111" top="0.984027777777778" bottom="0.904861111111111" header="0.5" footer="0.511805555555556"/>
  <pageSetup paperSize="8" firstPageNumber="3" fitToHeight="0" orientation="landscape" useFirstPageNumber="1" horizontalDpi="600"/>
  <headerFooter differentOddEven="1">
    <oddFooter>&amp;R- &amp;P -</oddFooter>
    <evenFooter>&amp;L-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77"/>
  <sheetViews>
    <sheetView zoomScale="50" zoomScaleNormal="50" workbookViewId="0">
      <selection activeCell="W2" sqref="W2"/>
    </sheetView>
  </sheetViews>
  <sheetFormatPr defaultColWidth="9" defaultRowHeight="14.4"/>
  <cols>
    <col min="1" max="1" width="6.0462962962963" style="10" customWidth="1"/>
    <col min="2" max="2" width="8.14814814814815" style="11" customWidth="1"/>
    <col min="3" max="3" width="9.98148148148148" style="11" customWidth="1"/>
    <col min="4" max="4" width="11.0648148148148" style="11" customWidth="1"/>
    <col min="5" max="5" width="22.25" style="10" customWidth="1"/>
    <col min="6" max="6" width="57.3425925925926" style="1" customWidth="1"/>
    <col min="7" max="7" width="11.3333333333333" style="11" customWidth="1"/>
    <col min="8" max="8" width="15.4166666666667" style="11" customWidth="1"/>
    <col min="9" max="9" width="14.6666666666667" style="12" customWidth="1"/>
    <col min="10" max="10" width="14.8148148148148" style="12" customWidth="1"/>
    <col min="11" max="11" width="10.4907407407407" style="10" customWidth="1"/>
    <col min="12" max="12" width="7.06481481481481" style="10" customWidth="1"/>
    <col min="13" max="13" width="7.15740740740741" style="10" customWidth="1"/>
    <col min="14" max="14" width="7.69444444444444" style="10" customWidth="1"/>
    <col min="15" max="15" width="6.71296296296296" style="10" customWidth="1"/>
    <col min="16" max="16" width="6.96296296296296" style="10" customWidth="1"/>
    <col min="17" max="17" width="54.6666666666667" style="1" customWidth="1"/>
    <col min="18" max="18" width="9.40740740740741" style="11" customWidth="1"/>
    <col min="19" max="19" width="9.42592592592593" style="11" customWidth="1"/>
    <col min="20" max="20" width="10.4351851851852" style="11" customWidth="1"/>
    <col min="21" max="21" width="9.33333333333333" style="11" customWidth="1"/>
    <col min="22" max="16384" width="9" style="2"/>
  </cols>
  <sheetData>
    <row r="1" s="1" customFormat="1" ht="23" customHeight="1" spans="1:21">
      <c r="A1" s="13" t="s">
        <v>123</v>
      </c>
      <c r="B1" s="11"/>
      <c r="C1" s="11"/>
      <c r="D1" s="11"/>
      <c r="E1" s="10"/>
      <c r="G1" s="11"/>
      <c r="H1" s="11"/>
      <c r="I1" s="12"/>
      <c r="J1" s="12"/>
      <c r="K1" s="10"/>
      <c r="L1" s="10"/>
      <c r="M1" s="10"/>
      <c r="N1" s="10"/>
      <c r="O1" s="10"/>
      <c r="P1" s="10"/>
      <c r="R1" s="11"/>
      <c r="S1" s="11"/>
      <c r="T1" s="11"/>
      <c r="U1" s="31"/>
    </row>
    <row r="2" ht="43" customHeight="1" spans="1:21">
      <c r="A2" s="14" t="s">
        <v>124</v>
      </c>
      <c r="B2" s="14"/>
      <c r="C2" s="14"/>
      <c r="D2" s="14"/>
      <c r="E2" s="14"/>
      <c r="F2" s="15"/>
      <c r="G2" s="14"/>
      <c r="H2" s="14"/>
      <c r="I2" s="26"/>
      <c r="J2" s="26"/>
      <c r="K2" s="14"/>
      <c r="L2" s="14"/>
      <c r="M2" s="14"/>
      <c r="N2" s="14"/>
      <c r="O2" s="14"/>
      <c r="P2" s="14"/>
      <c r="Q2" s="15"/>
      <c r="R2" s="14"/>
      <c r="S2" s="14"/>
      <c r="T2" s="14"/>
      <c r="U2" s="14"/>
    </row>
    <row r="3" s="2" customFormat="1" ht="53" customHeight="1" spans="1:21">
      <c r="A3" s="16" t="s">
        <v>125</v>
      </c>
      <c r="B3" s="17" t="s">
        <v>3</v>
      </c>
      <c r="C3" s="17" t="s">
        <v>4</v>
      </c>
      <c r="D3" s="17" t="s">
        <v>5</v>
      </c>
      <c r="E3" s="18" t="s">
        <v>126</v>
      </c>
      <c r="F3" s="18" t="s">
        <v>127</v>
      </c>
      <c r="G3" s="18" t="s">
        <v>128</v>
      </c>
      <c r="H3" s="18"/>
      <c r="I3" s="27" t="s">
        <v>129</v>
      </c>
      <c r="J3" s="27"/>
      <c r="K3" s="18"/>
      <c r="L3" s="18" t="s">
        <v>130</v>
      </c>
      <c r="M3" s="18" t="s">
        <v>131</v>
      </c>
      <c r="N3" s="18"/>
      <c r="O3" s="18" t="s">
        <v>132</v>
      </c>
      <c r="P3" s="18"/>
      <c r="Q3" s="18" t="s">
        <v>133</v>
      </c>
      <c r="R3" s="18" t="s">
        <v>134</v>
      </c>
      <c r="S3" s="18" t="s">
        <v>135</v>
      </c>
      <c r="T3" s="18" t="s">
        <v>136</v>
      </c>
      <c r="U3" s="18" t="s">
        <v>8</v>
      </c>
    </row>
    <row r="4" s="2" customFormat="1" ht="39" customHeight="1" spans="1:21">
      <c r="A4" s="16"/>
      <c r="B4" s="17"/>
      <c r="C4" s="17"/>
      <c r="D4" s="17"/>
      <c r="E4" s="18"/>
      <c r="F4" s="18"/>
      <c r="G4" s="18" t="s">
        <v>137</v>
      </c>
      <c r="H4" s="18" t="s">
        <v>138</v>
      </c>
      <c r="I4" s="27" t="s">
        <v>9</v>
      </c>
      <c r="J4" s="27" t="s">
        <v>10</v>
      </c>
      <c r="K4" s="18" t="s">
        <v>11</v>
      </c>
      <c r="L4" s="18"/>
      <c r="M4" s="18" t="s">
        <v>139</v>
      </c>
      <c r="N4" s="18" t="s">
        <v>140</v>
      </c>
      <c r="O4" s="18" t="s">
        <v>139</v>
      </c>
      <c r="P4" s="18" t="s">
        <v>140</v>
      </c>
      <c r="Q4" s="18"/>
      <c r="R4" s="18"/>
      <c r="S4" s="18"/>
      <c r="T4" s="18"/>
      <c r="U4" s="18"/>
    </row>
    <row r="5" s="2" customFormat="1" ht="39" customHeight="1" spans="1:21">
      <c r="A5" s="16"/>
      <c r="B5" s="17"/>
      <c r="C5" s="17"/>
      <c r="D5" s="17"/>
      <c r="E5" s="18" t="s">
        <v>9</v>
      </c>
      <c r="F5" s="19"/>
      <c r="G5" s="18"/>
      <c r="H5" s="18"/>
      <c r="I5" s="27">
        <f>SUBTOTAL(9,I6:I477)</f>
        <v>29819.0865</v>
      </c>
      <c r="J5" s="27">
        <f>SUBTOTAL(9,J6:J477)</f>
        <v>29617.5305</v>
      </c>
      <c r="K5" s="18">
        <f>SUBTOTAL(9,K6:K477)</f>
        <v>201.556</v>
      </c>
      <c r="L5" s="18"/>
      <c r="M5" s="18"/>
      <c r="N5" s="18"/>
      <c r="O5" s="18"/>
      <c r="P5" s="18"/>
      <c r="Q5" s="19"/>
      <c r="R5" s="18"/>
      <c r="S5" s="18"/>
      <c r="T5" s="18"/>
      <c r="U5" s="18"/>
    </row>
    <row r="6" s="3" customFormat="1" ht="102" customHeight="1" spans="1:21">
      <c r="A6" s="20">
        <f t="shared" ref="A6:A12" si="0">ROW()-5</f>
        <v>1</v>
      </c>
      <c r="B6" s="20" t="s">
        <v>13</v>
      </c>
      <c r="C6" s="20" t="s">
        <v>15</v>
      </c>
      <c r="D6" s="20" t="s">
        <v>17</v>
      </c>
      <c r="E6" s="20" t="s">
        <v>141</v>
      </c>
      <c r="F6" s="21" t="s">
        <v>142</v>
      </c>
      <c r="G6" s="20" t="s">
        <v>143</v>
      </c>
      <c r="H6" s="20" t="s">
        <v>144</v>
      </c>
      <c r="I6" s="23">
        <f t="shared" ref="I6:I8" si="1">J6+K6</f>
        <v>5.47</v>
      </c>
      <c r="J6" s="23">
        <v>5.47</v>
      </c>
      <c r="K6" s="20"/>
      <c r="L6" s="28" t="s">
        <v>145</v>
      </c>
      <c r="M6" s="20">
        <v>9</v>
      </c>
      <c r="N6" s="20">
        <v>23</v>
      </c>
      <c r="O6" s="20">
        <v>9</v>
      </c>
      <c r="P6" s="20">
        <v>23</v>
      </c>
      <c r="Q6" s="21" t="s">
        <v>146</v>
      </c>
      <c r="R6" s="20" t="s">
        <v>147</v>
      </c>
      <c r="S6" s="20" t="s">
        <v>148</v>
      </c>
      <c r="T6" s="20" t="s">
        <v>149</v>
      </c>
      <c r="U6" s="32"/>
    </row>
    <row r="7" s="3" customFormat="1" ht="115" customHeight="1" spans="1:21">
      <c r="A7" s="20">
        <f t="shared" si="0"/>
        <v>2</v>
      </c>
      <c r="B7" s="20" t="s">
        <v>13</v>
      </c>
      <c r="C7" s="20" t="s">
        <v>15</v>
      </c>
      <c r="D7" s="20" t="s">
        <v>17</v>
      </c>
      <c r="E7" s="20" t="s">
        <v>150</v>
      </c>
      <c r="F7" s="21" t="s">
        <v>151</v>
      </c>
      <c r="G7" s="20" t="s">
        <v>152</v>
      </c>
      <c r="H7" s="20" t="s">
        <v>153</v>
      </c>
      <c r="I7" s="23">
        <f t="shared" ref="I7:I70" si="2">J7+K7</f>
        <v>24.72</v>
      </c>
      <c r="J7" s="23">
        <v>24.72</v>
      </c>
      <c r="K7" s="20"/>
      <c r="L7" s="20" t="s">
        <v>145</v>
      </c>
      <c r="M7" s="20">
        <v>44</v>
      </c>
      <c r="N7" s="20">
        <v>112</v>
      </c>
      <c r="O7" s="20">
        <v>44</v>
      </c>
      <c r="P7" s="20">
        <v>112</v>
      </c>
      <c r="Q7" s="21" t="s">
        <v>154</v>
      </c>
      <c r="R7" s="20" t="s">
        <v>155</v>
      </c>
      <c r="S7" s="20" t="s">
        <v>148</v>
      </c>
      <c r="T7" s="20" t="s">
        <v>156</v>
      </c>
      <c r="U7" s="20"/>
    </row>
    <row r="8" s="3" customFormat="1" ht="98" customHeight="1" spans="1:21">
      <c r="A8" s="20">
        <f t="shared" si="0"/>
        <v>3</v>
      </c>
      <c r="B8" s="20" t="s">
        <v>13</v>
      </c>
      <c r="C8" s="20" t="s">
        <v>15</v>
      </c>
      <c r="D8" s="20" t="s">
        <v>17</v>
      </c>
      <c r="E8" s="20" t="s">
        <v>157</v>
      </c>
      <c r="F8" s="21" t="s">
        <v>158</v>
      </c>
      <c r="G8" s="20" t="s">
        <v>152</v>
      </c>
      <c r="H8" s="20" t="s">
        <v>159</v>
      </c>
      <c r="I8" s="23">
        <f t="shared" si="2"/>
        <v>1</v>
      </c>
      <c r="J8" s="23">
        <v>1</v>
      </c>
      <c r="K8" s="20"/>
      <c r="L8" s="20" t="s">
        <v>145</v>
      </c>
      <c r="M8" s="20">
        <v>1</v>
      </c>
      <c r="N8" s="20">
        <v>3</v>
      </c>
      <c r="O8" s="20">
        <v>1</v>
      </c>
      <c r="P8" s="20">
        <v>3</v>
      </c>
      <c r="Q8" s="21" t="s">
        <v>160</v>
      </c>
      <c r="R8" s="20" t="s">
        <v>155</v>
      </c>
      <c r="S8" s="20" t="s">
        <v>148</v>
      </c>
      <c r="T8" s="20" t="s">
        <v>161</v>
      </c>
      <c r="U8" s="20"/>
    </row>
    <row r="9" s="3" customFormat="1" ht="98" customHeight="1" spans="1:21">
      <c r="A9" s="20">
        <f t="shared" si="0"/>
        <v>4</v>
      </c>
      <c r="B9" s="20" t="s">
        <v>13</v>
      </c>
      <c r="C9" s="20" t="s">
        <v>15</v>
      </c>
      <c r="D9" s="20" t="s">
        <v>17</v>
      </c>
      <c r="E9" s="20" t="s">
        <v>162</v>
      </c>
      <c r="F9" s="21" t="s">
        <v>163</v>
      </c>
      <c r="G9" s="20" t="s">
        <v>164</v>
      </c>
      <c r="H9" s="20" t="s">
        <v>165</v>
      </c>
      <c r="I9" s="23">
        <f t="shared" si="2"/>
        <v>16.69</v>
      </c>
      <c r="J9" s="29">
        <v>16.69</v>
      </c>
      <c r="K9" s="28"/>
      <c r="L9" s="28" t="s">
        <v>145</v>
      </c>
      <c r="M9" s="28">
        <v>34</v>
      </c>
      <c r="N9" s="28">
        <v>81</v>
      </c>
      <c r="O9" s="28">
        <v>34</v>
      </c>
      <c r="P9" s="28">
        <v>81</v>
      </c>
      <c r="Q9" s="21" t="s">
        <v>166</v>
      </c>
      <c r="R9" s="20" t="s">
        <v>167</v>
      </c>
      <c r="S9" s="20" t="s">
        <v>148</v>
      </c>
      <c r="T9" s="20" t="s">
        <v>168</v>
      </c>
      <c r="U9" s="20"/>
    </row>
    <row r="10" s="3" customFormat="1" ht="105" customHeight="1" spans="1:21">
      <c r="A10" s="20">
        <f t="shared" si="0"/>
        <v>5</v>
      </c>
      <c r="B10" s="20" t="s">
        <v>13</v>
      </c>
      <c r="C10" s="20" t="s">
        <v>15</v>
      </c>
      <c r="D10" s="20" t="s">
        <v>17</v>
      </c>
      <c r="E10" s="20" t="s">
        <v>169</v>
      </c>
      <c r="F10" s="21" t="s">
        <v>170</v>
      </c>
      <c r="G10" s="20" t="s">
        <v>171</v>
      </c>
      <c r="H10" s="20" t="s">
        <v>172</v>
      </c>
      <c r="I10" s="23">
        <f t="shared" si="2"/>
        <v>64.2</v>
      </c>
      <c r="J10" s="23">
        <v>64.2</v>
      </c>
      <c r="K10" s="20"/>
      <c r="L10" s="20" t="s">
        <v>145</v>
      </c>
      <c r="M10" s="20">
        <v>110</v>
      </c>
      <c r="N10" s="20">
        <v>274</v>
      </c>
      <c r="O10" s="20">
        <v>110</v>
      </c>
      <c r="P10" s="20">
        <v>274</v>
      </c>
      <c r="Q10" s="21" t="s">
        <v>173</v>
      </c>
      <c r="R10" s="20" t="s">
        <v>174</v>
      </c>
      <c r="S10" s="20" t="s">
        <v>148</v>
      </c>
      <c r="T10" s="20" t="s">
        <v>175</v>
      </c>
      <c r="U10" s="28"/>
    </row>
    <row r="11" s="3" customFormat="1" ht="135" customHeight="1" spans="1:21">
      <c r="A11" s="20">
        <f t="shared" si="0"/>
        <v>6</v>
      </c>
      <c r="B11" s="20" t="s">
        <v>13</v>
      </c>
      <c r="C11" s="20" t="s">
        <v>15</v>
      </c>
      <c r="D11" s="20" t="s">
        <v>17</v>
      </c>
      <c r="E11" s="20" t="s">
        <v>176</v>
      </c>
      <c r="F11" s="21" t="s">
        <v>177</v>
      </c>
      <c r="G11" s="20" t="s">
        <v>178</v>
      </c>
      <c r="H11" s="20" t="s">
        <v>179</v>
      </c>
      <c r="I11" s="23">
        <f t="shared" si="2"/>
        <v>15.55</v>
      </c>
      <c r="J11" s="23">
        <v>15.55</v>
      </c>
      <c r="K11" s="20"/>
      <c r="L11" s="20" t="s">
        <v>145</v>
      </c>
      <c r="M11" s="20">
        <v>29</v>
      </c>
      <c r="N11" s="20">
        <v>64</v>
      </c>
      <c r="O11" s="20">
        <v>29</v>
      </c>
      <c r="P11" s="20">
        <v>64</v>
      </c>
      <c r="Q11" s="21" t="s">
        <v>180</v>
      </c>
      <c r="R11" s="20" t="s">
        <v>181</v>
      </c>
      <c r="S11" s="20" t="s">
        <v>148</v>
      </c>
      <c r="T11" s="20" t="s">
        <v>182</v>
      </c>
      <c r="U11" s="28"/>
    </row>
    <row r="12" s="4" customFormat="1" ht="88.35" customHeight="1" spans="1:21">
      <c r="A12" s="20">
        <f t="shared" si="0"/>
        <v>7</v>
      </c>
      <c r="B12" s="20" t="s">
        <v>13</v>
      </c>
      <c r="C12" s="20" t="s">
        <v>15</v>
      </c>
      <c r="D12" s="20" t="s">
        <v>17</v>
      </c>
      <c r="E12" s="20" t="s">
        <v>183</v>
      </c>
      <c r="F12" s="21" t="s">
        <v>184</v>
      </c>
      <c r="G12" s="20" t="s">
        <v>185</v>
      </c>
      <c r="H12" s="20" t="s">
        <v>186</v>
      </c>
      <c r="I12" s="23">
        <f t="shared" si="2"/>
        <v>10.74</v>
      </c>
      <c r="J12" s="23">
        <v>10.74</v>
      </c>
      <c r="K12" s="20"/>
      <c r="L12" s="20" t="s">
        <v>145</v>
      </c>
      <c r="M12" s="20">
        <v>20</v>
      </c>
      <c r="N12" s="20">
        <v>42</v>
      </c>
      <c r="O12" s="20">
        <v>20</v>
      </c>
      <c r="P12" s="20">
        <v>42</v>
      </c>
      <c r="Q12" s="21" t="s">
        <v>187</v>
      </c>
      <c r="R12" s="20" t="s">
        <v>188</v>
      </c>
      <c r="S12" s="20" t="s">
        <v>148</v>
      </c>
      <c r="T12" s="20" t="s">
        <v>189</v>
      </c>
      <c r="U12" s="20"/>
    </row>
    <row r="13" s="3" customFormat="1" ht="130" customHeight="1" spans="1:21">
      <c r="A13" s="20">
        <f t="shared" ref="A13:A27" si="3">ROW()-5</f>
        <v>8</v>
      </c>
      <c r="B13" s="20" t="s">
        <v>13</v>
      </c>
      <c r="C13" s="20" t="s">
        <v>15</v>
      </c>
      <c r="D13" s="20" t="s">
        <v>17</v>
      </c>
      <c r="E13" s="20" t="s">
        <v>190</v>
      </c>
      <c r="F13" s="21" t="s">
        <v>191</v>
      </c>
      <c r="G13" s="20" t="s">
        <v>152</v>
      </c>
      <c r="H13" s="20" t="s">
        <v>159</v>
      </c>
      <c r="I13" s="23">
        <f t="shared" si="2"/>
        <v>78</v>
      </c>
      <c r="J13" s="23">
        <v>78</v>
      </c>
      <c r="K13" s="20"/>
      <c r="L13" s="20" t="s">
        <v>145</v>
      </c>
      <c r="M13" s="20">
        <v>81</v>
      </c>
      <c r="N13" s="20">
        <v>274</v>
      </c>
      <c r="O13" s="20">
        <v>8</v>
      </c>
      <c r="P13" s="20">
        <v>12</v>
      </c>
      <c r="Q13" s="21" t="s">
        <v>192</v>
      </c>
      <c r="R13" s="20" t="s">
        <v>155</v>
      </c>
      <c r="S13" s="20" t="s">
        <v>148</v>
      </c>
      <c r="T13" s="20" t="s">
        <v>156</v>
      </c>
      <c r="U13" s="20"/>
    </row>
    <row r="14" s="3" customFormat="1" ht="103" customHeight="1" spans="1:21">
      <c r="A14" s="20">
        <f t="shared" si="3"/>
        <v>9</v>
      </c>
      <c r="B14" s="20" t="s">
        <v>13</v>
      </c>
      <c r="C14" s="20" t="s">
        <v>15</v>
      </c>
      <c r="D14" s="20" t="s">
        <v>17</v>
      </c>
      <c r="E14" s="20" t="s">
        <v>193</v>
      </c>
      <c r="F14" s="21" t="s">
        <v>194</v>
      </c>
      <c r="G14" s="20" t="s">
        <v>152</v>
      </c>
      <c r="H14" s="20" t="s">
        <v>159</v>
      </c>
      <c r="I14" s="23">
        <f t="shared" si="2"/>
        <v>20</v>
      </c>
      <c r="J14" s="23">
        <v>12</v>
      </c>
      <c r="K14" s="20">
        <v>8</v>
      </c>
      <c r="L14" s="20" t="s">
        <v>145</v>
      </c>
      <c r="M14" s="20">
        <v>464</v>
      </c>
      <c r="N14" s="20">
        <v>1380</v>
      </c>
      <c r="O14" s="20">
        <v>28</v>
      </c>
      <c r="P14" s="20">
        <v>63</v>
      </c>
      <c r="Q14" s="21" t="s">
        <v>195</v>
      </c>
      <c r="R14" s="20" t="s">
        <v>155</v>
      </c>
      <c r="S14" s="20" t="s">
        <v>148</v>
      </c>
      <c r="T14" s="20" t="s">
        <v>156</v>
      </c>
      <c r="U14" s="20"/>
    </row>
    <row r="15" s="3" customFormat="1" ht="122" customHeight="1" spans="1:21">
      <c r="A15" s="20">
        <f t="shared" si="3"/>
        <v>10</v>
      </c>
      <c r="B15" s="20" t="s">
        <v>13</v>
      </c>
      <c r="C15" s="20" t="s">
        <v>15</v>
      </c>
      <c r="D15" s="20" t="s">
        <v>17</v>
      </c>
      <c r="E15" s="20" t="s">
        <v>196</v>
      </c>
      <c r="F15" s="21" t="s">
        <v>197</v>
      </c>
      <c r="G15" s="20" t="s">
        <v>198</v>
      </c>
      <c r="H15" s="20" t="s">
        <v>199</v>
      </c>
      <c r="I15" s="23">
        <f t="shared" si="2"/>
        <v>50.4</v>
      </c>
      <c r="J15" s="23">
        <v>50.4</v>
      </c>
      <c r="K15" s="28"/>
      <c r="L15" s="20" t="s">
        <v>145</v>
      </c>
      <c r="M15" s="20">
        <v>3021</v>
      </c>
      <c r="N15" s="20">
        <v>8191</v>
      </c>
      <c r="O15" s="20">
        <v>60</v>
      </c>
      <c r="P15" s="20">
        <v>141</v>
      </c>
      <c r="Q15" s="21" t="s">
        <v>200</v>
      </c>
      <c r="R15" s="20" t="s">
        <v>201</v>
      </c>
      <c r="S15" s="20" t="s">
        <v>148</v>
      </c>
      <c r="T15" s="20" t="s">
        <v>202</v>
      </c>
      <c r="U15" s="28"/>
    </row>
    <row r="16" s="3" customFormat="1" ht="107" customHeight="1" spans="1:21">
      <c r="A16" s="20">
        <f t="shared" si="3"/>
        <v>11</v>
      </c>
      <c r="B16" s="20" t="s">
        <v>13</v>
      </c>
      <c r="C16" s="20" t="s">
        <v>15</v>
      </c>
      <c r="D16" s="20" t="s">
        <v>17</v>
      </c>
      <c r="E16" s="20" t="s">
        <v>203</v>
      </c>
      <c r="F16" s="21" t="s">
        <v>204</v>
      </c>
      <c r="G16" s="20" t="s">
        <v>198</v>
      </c>
      <c r="H16" s="20" t="s">
        <v>199</v>
      </c>
      <c r="I16" s="23">
        <f t="shared" si="2"/>
        <v>97.5</v>
      </c>
      <c r="J16" s="23">
        <v>97.5</v>
      </c>
      <c r="K16" s="28"/>
      <c r="L16" s="20" t="s">
        <v>145</v>
      </c>
      <c r="M16" s="20">
        <v>3021</v>
      </c>
      <c r="N16" s="20">
        <v>8191</v>
      </c>
      <c r="O16" s="20">
        <v>60</v>
      </c>
      <c r="P16" s="20">
        <v>141</v>
      </c>
      <c r="Q16" s="21" t="s">
        <v>205</v>
      </c>
      <c r="R16" s="20" t="s">
        <v>201</v>
      </c>
      <c r="S16" s="20" t="s">
        <v>148</v>
      </c>
      <c r="T16" s="20" t="s">
        <v>202</v>
      </c>
      <c r="U16" s="28"/>
    </row>
    <row r="17" s="3" customFormat="1" ht="123" customHeight="1" spans="1:21">
      <c r="A17" s="20">
        <f t="shared" si="3"/>
        <v>12</v>
      </c>
      <c r="B17" s="20" t="s">
        <v>13</v>
      </c>
      <c r="C17" s="20" t="s">
        <v>15</v>
      </c>
      <c r="D17" s="20" t="s">
        <v>17</v>
      </c>
      <c r="E17" s="20" t="s">
        <v>206</v>
      </c>
      <c r="F17" s="21" t="s">
        <v>207</v>
      </c>
      <c r="G17" s="20" t="s">
        <v>198</v>
      </c>
      <c r="H17" s="20" t="s">
        <v>208</v>
      </c>
      <c r="I17" s="23">
        <f t="shared" si="2"/>
        <v>3</v>
      </c>
      <c r="J17" s="29">
        <v>3</v>
      </c>
      <c r="K17" s="28"/>
      <c r="L17" s="20" t="s">
        <v>145</v>
      </c>
      <c r="M17" s="20">
        <v>487</v>
      </c>
      <c r="N17" s="20">
        <v>1324</v>
      </c>
      <c r="O17" s="20">
        <v>15</v>
      </c>
      <c r="P17" s="20">
        <v>32</v>
      </c>
      <c r="Q17" s="21" t="s">
        <v>209</v>
      </c>
      <c r="R17" s="20" t="s">
        <v>201</v>
      </c>
      <c r="S17" s="20" t="s">
        <v>148</v>
      </c>
      <c r="T17" s="20" t="s">
        <v>202</v>
      </c>
      <c r="U17" s="28"/>
    </row>
    <row r="18" s="3" customFormat="1" ht="123" customHeight="1" spans="1:21">
      <c r="A18" s="20">
        <f t="shared" si="3"/>
        <v>13</v>
      </c>
      <c r="B18" s="20" t="s">
        <v>13</v>
      </c>
      <c r="C18" s="20" t="s">
        <v>15</v>
      </c>
      <c r="D18" s="20" t="s">
        <v>17</v>
      </c>
      <c r="E18" s="20" t="s">
        <v>210</v>
      </c>
      <c r="F18" s="21" t="s">
        <v>211</v>
      </c>
      <c r="G18" s="20" t="s">
        <v>198</v>
      </c>
      <c r="H18" s="20" t="s">
        <v>212</v>
      </c>
      <c r="I18" s="23">
        <f t="shared" si="2"/>
        <v>15</v>
      </c>
      <c r="J18" s="29">
        <v>15</v>
      </c>
      <c r="K18" s="28"/>
      <c r="L18" s="20" t="s">
        <v>145</v>
      </c>
      <c r="M18" s="20">
        <v>545</v>
      </c>
      <c r="N18" s="20">
        <v>1475</v>
      </c>
      <c r="O18" s="20">
        <v>12</v>
      </c>
      <c r="P18" s="20">
        <v>28</v>
      </c>
      <c r="Q18" s="21" t="s">
        <v>213</v>
      </c>
      <c r="R18" s="20" t="s">
        <v>201</v>
      </c>
      <c r="S18" s="20" t="s">
        <v>148</v>
      </c>
      <c r="T18" s="20" t="s">
        <v>202</v>
      </c>
      <c r="U18" s="28"/>
    </row>
    <row r="19" s="3" customFormat="1" ht="123" customHeight="1" spans="1:21">
      <c r="A19" s="20">
        <f t="shared" si="3"/>
        <v>14</v>
      </c>
      <c r="B19" s="20" t="s">
        <v>13</v>
      </c>
      <c r="C19" s="20" t="s">
        <v>15</v>
      </c>
      <c r="D19" s="20" t="s">
        <v>17</v>
      </c>
      <c r="E19" s="20" t="s">
        <v>214</v>
      </c>
      <c r="F19" s="21" t="s">
        <v>215</v>
      </c>
      <c r="G19" s="20" t="s">
        <v>198</v>
      </c>
      <c r="H19" s="20" t="s">
        <v>216</v>
      </c>
      <c r="I19" s="23">
        <f t="shared" si="2"/>
        <v>3</v>
      </c>
      <c r="J19" s="29">
        <v>3</v>
      </c>
      <c r="K19" s="20"/>
      <c r="L19" s="20" t="s">
        <v>145</v>
      </c>
      <c r="M19" s="20">
        <v>427</v>
      </c>
      <c r="N19" s="20">
        <v>1044</v>
      </c>
      <c r="O19" s="20">
        <v>7</v>
      </c>
      <c r="P19" s="20">
        <v>14</v>
      </c>
      <c r="Q19" s="21" t="s">
        <v>217</v>
      </c>
      <c r="R19" s="20" t="s">
        <v>201</v>
      </c>
      <c r="S19" s="20" t="s">
        <v>148</v>
      </c>
      <c r="T19" s="20" t="s">
        <v>202</v>
      </c>
      <c r="U19" s="28"/>
    </row>
    <row r="20" s="3" customFormat="1" ht="169" customHeight="1" spans="1:21">
      <c r="A20" s="20">
        <f t="shared" si="3"/>
        <v>15</v>
      </c>
      <c r="B20" s="20" t="s">
        <v>13</v>
      </c>
      <c r="C20" s="20" t="s">
        <v>15</v>
      </c>
      <c r="D20" s="20" t="s">
        <v>17</v>
      </c>
      <c r="E20" s="20" t="s">
        <v>218</v>
      </c>
      <c r="F20" s="21" t="s">
        <v>219</v>
      </c>
      <c r="G20" s="20" t="s">
        <v>220</v>
      </c>
      <c r="H20" s="20" t="s">
        <v>221</v>
      </c>
      <c r="I20" s="23">
        <f t="shared" si="2"/>
        <v>9.9</v>
      </c>
      <c r="J20" s="23">
        <v>9.9</v>
      </c>
      <c r="K20" s="20">
        <v>0</v>
      </c>
      <c r="L20" s="20" t="s">
        <v>145</v>
      </c>
      <c r="M20" s="20">
        <v>612</v>
      </c>
      <c r="N20" s="20">
        <v>1439</v>
      </c>
      <c r="O20" s="20">
        <v>21</v>
      </c>
      <c r="P20" s="20">
        <v>30</v>
      </c>
      <c r="Q20" s="21" t="s">
        <v>222</v>
      </c>
      <c r="R20" s="20" t="s">
        <v>223</v>
      </c>
      <c r="S20" s="20" t="s">
        <v>148</v>
      </c>
      <c r="T20" s="20" t="s">
        <v>224</v>
      </c>
      <c r="U20" s="20"/>
    </row>
    <row r="21" s="3" customFormat="1" ht="114" customHeight="1" spans="1:21">
      <c r="A21" s="20">
        <f t="shared" si="3"/>
        <v>16</v>
      </c>
      <c r="B21" s="20" t="s">
        <v>13</v>
      </c>
      <c r="C21" s="20" t="s">
        <v>15</v>
      </c>
      <c r="D21" s="22" t="s">
        <v>17</v>
      </c>
      <c r="E21" s="20" t="s">
        <v>225</v>
      </c>
      <c r="F21" s="21" t="s">
        <v>226</v>
      </c>
      <c r="G21" s="20" t="s">
        <v>220</v>
      </c>
      <c r="H21" s="20" t="s">
        <v>227</v>
      </c>
      <c r="I21" s="23">
        <f t="shared" si="2"/>
        <v>5.1</v>
      </c>
      <c r="J21" s="23">
        <v>5.1</v>
      </c>
      <c r="K21" s="20">
        <v>0</v>
      </c>
      <c r="L21" s="20" t="s">
        <v>145</v>
      </c>
      <c r="M21" s="20">
        <v>437</v>
      </c>
      <c r="N21" s="20">
        <v>1034</v>
      </c>
      <c r="O21" s="20">
        <v>15</v>
      </c>
      <c r="P21" s="20">
        <v>18</v>
      </c>
      <c r="Q21" s="21" t="s">
        <v>228</v>
      </c>
      <c r="R21" s="20" t="s">
        <v>223</v>
      </c>
      <c r="S21" s="20" t="s">
        <v>148</v>
      </c>
      <c r="T21" s="20" t="s">
        <v>229</v>
      </c>
      <c r="U21" s="20"/>
    </row>
    <row r="22" s="3" customFormat="1" ht="130" customHeight="1" spans="1:21">
      <c r="A22" s="20">
        <f t="shared" si="3"/>
        <v>17</v>
      </c>
      <c r="B22" s="20" t="s">
        <v>13</v>
      </c>
      <c r="C22" s="20" t="s">
        <v>15</v>
      </c>
      <c r="D22" s="20" t="s">
        <v>17</v>
      </c>
      <c r="E22" s="20" t="s">
        <v>230</v>
      </c>
      <c r="F22" s="21" t="s">
        <v>231</v>
      </c>
      <c r="G22" s="20" t="s">
        <v>220</v>
      </c>
      <c r="H22" s="20" t="s">
        <v>232</v>
      </c>
      <c r="I22" s="23">
        <f t="shared" si="2"/>
        <v>36</v>
      </c>
      <c r="J22" s="23">
        <v>36</v>
      </c>
      <c r="K22" s="20">
        <v>0</v>
      </c>
      <c r="L22" s="20" t="s">
        <v>145</v>
      </c>
      <c r="M22" s="20">
        <v>4042</v>
      </c>
      <c r="N22" s="20">
        <v>9970</v>
      </c>
      <c r="O22" s="20">
        <v>110</v>
      </c>
      <c r="P22" s="20">
        <v>156</v>
      </c>
      <c r="Q22" s="21" t="s">
        <v>233</v>
      </c>
      <c r="R22" s="20" t="s">
        <v>223</v>
      </c>
      <c r="S22" s="20" t="s">
        <v>148</v>
      </c>
      <c r="T22" s="20" t="s">
        <v>224</v>
      </c>
      <c r="U22" s="20"/>
    </row>
    <row r="23" s="3" customFormat="1" ht="129" customHeight="1" spans="1:21">
      <c r="A23" s="20">
        <f t="shared" si="3"/>
        <v>18</v>
      </c>
      <c r="B23" s="20" t="s">
        <v>13</v>
      </c>
      <c r="C23" s="20" t="s">
        <v>15</v>
      </c>
      <c r="D23" s="20" t="s">
        <v>17</v>
      </c>
      <c r="E23" s="20" t="s">
        <v>234</v>
      </c>
      <c r="F23" s="21" t="s">
        <v>235</v>
      </c>
      <c r="G23" s="20" t="s">
        <v>220</v>
      </c>
      <c r="H23" s="20" t="s">
        <v>232</v>
      </c>
      <c r="I23" s="23">
        <f t="shared" si="2"/>
        <v>21</v>
      </c>
      <c r="J23" s="23">
        <v>21</v>
      </c>
      <c r="K23" s="20">
        <v>0</v>
      </c>
      <c r="L23" s="20" t="s">
        <v>145</v>
      </c>
      <c r="M23" s="20">
        <v>4042</v>
      </c>
      <c r="N23" s="20">
        <v>9970</v>
      </c>
      <c r="O23" s="20">
        <v>110</v>
      </c>
      <c r="P23" s="20">
        <v>156</v>
      </c>
      <c r="Q23" s="21" t="s">
        <v>233</v>
      </c>
      <c r="R23" s="20" t="s">
        <v>223</v>
      </c>
      <c r="S23" s="20" t="s">
        <v>148</v>
      </c>
      <c r="T23" s="20" t="s">
        <v>224</v>
      </c>
      <c r="U23" s="20"/>
    </row>
    <row r="24" s="3" customFormat="1" ht="155" customHeight="1" spans="1:21">
      <c r="A24" s="20">
        <f t="shared" si="3"/>
        <v>19</v>
      </c>
      <c r="B24" s="20" t="s">
        <v>13</v>
      </c>
      <c r="C24" s="20" t="s">
        <v>15</v>
      </c>
      <c r="D24" s="20" t="s">
        <v>17</v>
      </c>
      <c r="E24" s="20" t="s">
        <v>236</v>
      </c>
      <c r="F24" s="21" t="s">
        <v>237</v>
      </c>
      <c r="G24" s="20" t="s">
        <v>220</v>
      </c>
      <c r="H24" s="20" t="s">
        <v>238</v>
      </c>
      <c r="I24" s="23">
        <f t="shared" si="2"/>
        <v>3.9</v>
      </c>
      <c r="J24" s="23">
        <v>3.9</v>
      </c>
      <c r="K24" s="20">
        <v>0</v>
      </c>
      <c r="L24" s="20" t="s">
        <v>145</v>
      </c>
      <c r="M24" s="20">
        <v>453</v>
      </c>
      <c r="N24" s="20">
        <v>986</v>
      </c>
      <c r="O24" s="20">
        <v>8</v>
      </c>
      <c r="P24" s="20">
        <v>8</v>
      </c>
      <c r="Q24" s="21" t="s">
        <v>239</v>
      </c>
      <c r="R24" s="20" t="s">
        <v>223</v>
      </c>
      <c r="S24" s="20" t="s">
        <v>148</v>
      </c>
      <c r="T24" s="20" t="s">
        <v>240</v>
      </c>
      <c r="U24" s="20"/>
    </row>
    <row r="25" s="3" customFormat="1" ht="165" customHeight="1" spans="1:21">
      <c r="A25" s="20">
        <f t="shared" si="3"/>
        <v>20</v>
      </c>
      <c r="B25" s="20" t="s">
        <v>13</v>
      </c>
      <c r="C25" s="20" t="s">
        <v>15</v>
      </c>
      <c r="D25" s="20" t="s">
        <v>17</v>
      </c>
      <c r="E25" s="20" t="s">
        <v>241</v>
      </c>
      <c r="F25" s="21" t="s">
        <v>242</v>
      </c>
      <c r="G25" s="20" t="s">
        <v>220</v>
      </c>
      <c r="H25" s="20" t="s">
        <v>232</v>
      </c>
      <c r="I25" s="23">
        <f t="shared" si="2"/>
        <v>15</v>
      </c>
      <c r="J25" s="23">
        <v>15</v>
      </c>
      <c r="K25" s="20">
        <v>0</v>
      </c>
      <c r="L25" s="20" t="s">
        <v>145</v>
      </c>
      <c r="M25" s="20">
        <v>1335</v>
      </c>
      <c r="N25" s="20">
        <v>3164</v>
      </c>
      <c r="O25" s="20">
        <v>31</v>
      </c>
      <c r="P25" s="20">
        <v>45</v>
      </c>
      <c r="Q25" s="21" t="s">
        <v>243</v>
      </c>
      <c r="R25" s="20" t="s">
        <v>223</v>
      </c>
      <c r="S25" s="20" t="s">
        <v>148</v>
      </c>
      <c r="T25" s="20" t="s">
        <v>240</v>
      </c>
      <c r="U25" s="20"/>
    </row>
    <row r="26" s="3" customFormat="1" ht="128" customHeight="1" spans="1:21">
      <c r="A26" s="20">
        <f t="shared" si="3"/>
        <v>21</v>
      </c>
      <c r="B26" s="20" t="s">
        <v>13</v>
      </c>
      <c r="C26" s="20" t="s">
        <v>15</v>
      </c>
      <c r="D26" s="20" t="s">
        <v>17</v>
      </c>
      <c r="E26" s="20" t="s">
        <v>244</v>
      </c>
      <c r="F26" s="21" t="s">
        <v>245</v>
      </c>
      <c r="G26" s="20" t="s">
        <v>220</v>
      </c>
      <c r="H26" s="20" t="s">
        <v>227</v>
      </c>
      <c r="I26" s="23">
        <f t="shared" si="2"/>
        <v>10.5</v>
      </c>
      <c r="J26" s="23">
        <v>10.5</v>
      </c>
      <c r="K26" s="20">
        <v>0</v>
      </c>
      <c r="L26" s="20" t="s">
        <v>145</v>
      </c>
      <c r="M26" s="20">
        <v>125</v>
      </c>
      <c r="N26" s="20">
        <v>305</v>
      </c>
      <c r="O26" s="20">
        <v>4</v>
      </c>
      <c r="P26" s="20">
        <v>4</v>
      </c>
      <c r="Q26" s="21" t="s">
        <v>246</v>
      </c>
      <c r="R26" s="20" t="s">
        <v>223</v>
      </c>
      <c r="S26" s="20" t="s">
        <v>148</v>
      </c>
      <c r="T26" s="20" t="s">
        <v>240</v>
      </c>
      <c r="U26" s="20"/>
    </row>
    <row r="27" s="3" customFormat="1" ht="132" customHeight="1" spans="1:21">
      <c r="A27" s="20">
        <f t="shared" si="3"/>
        <v>22</v>
      </c>
      <c r="B27" s="22" t="s">
        <v>13</v>
      </c>
      <c r="C27" s="22" t="s">
        <v>15</v>
      </c>
      <c r="D27" s="22" t="s">
        <v>17</v>
      </c>
      <c r="E27" s="20" t="s">
        <v>247</v>
      </c>
      <c r="F27" s="21" t="s">
        <v>248</v>
      </c>
      <c r="G27" s="20" t="s">
        <v>220</v>
      </c>
      <c r="H27" s="20" t="s">
        <v>249</v>
      </c>
      <c r="I27" s="23">
        <f t="shared" si="2"/>
        <v>9</v>
      </c>
      <c r="J27" s="23">
        <v>9</v>
      </c>
      <c r="K27" s="20">
        <v>0</v>
      </c>
      <c r="L27" s="20" t="s">
        <v>145</v>
      </c>
      <c r="M27" s="20">
        <v>4042</v>
      </c>
      <c r="N27" s="20">
        <v>9970</v>
      </c>
      <c r="O27" s="20">
        <v>110</v>
      </c>
      <c r="P27" s="20">
        <v>156</v>
      </c>
      <c r="Q27" s="21" t="s">
        <v>250</v>
      </c>
      <c r="R27" s="20" t="s">
        <v>223</v>
      </c>
      <c r="S27" s="20" t="s">
        <v>148</v>
      </c>
      <c r="T27" s="20" t="s">
        <v>251</v>
      </c>
      <c r="U27" s="20"/>
    </row>
    <row r="28" s="3" customFormat="1" ht="181" customHeight="1" spans="1:21">
      <c r="A28" s="20">
        <f t="shared" ref="A28:A36" si="4">ROW()-5</f>
        <v>23</v>
      </c>
      <c r="B28" s="20" t="s">
        <v>13</v>
      </c>
      <c r="C28" s="20" t="s">
        <v>15</v>
      </c>
      <c r="D28" s="20" t="s">
        <v>17</v>
      </c>
      <c r="E28" s="20" t="s">
        <v>252</v>
      </c>
      <c r="F28" s="21" t="s">
        <v>253</v>
      </c>
      <c r="G28" s="20" t="s">
        <v>178</v>
      </c>
      <c r="H28" s="20" t="s">
        <v>254</v>
      </c>
      <c r="I28" s="23">
        <f t="shared" si="2"/>
        <v>410</v>
      </c>
      <c r="J28" s="23">
        <v>410</v>
      </c>
      <c r="K28" s="20"/>
      <c r="L28" s="20" t="s">
        <v>145</v>
      </c>
      <c r="M28" s="20">
        <v>3842</v>
      </c>
      <c r="N28" s="20">
        <v>10430</v>
      </c>
      <c r="O28" s="20">
        <v>289</v>
      </c>
      <c r="P28" s="20">
        <v>627</v>
      </c>
      <c r="Q28" s="21" t="s">
        <v>255</v>
      </c>
      <c r="R28" s="20" t="s">
        <v>181</v>
      </c>
      <c r="S28" s="20" t="s">
        <v>148</v>
      </c>
      <c r="T28" s="20" t="s">
        <v>256</v>
      </c>
      <c r="U28" s="28"/>
    </row>
    <row r="29" s="3" customFormat="1" ht="154" customHeight="1" spans="1:21">
      <c r="A29" s="20">
        <f t="shared" si="4"/>
        <v>24</v>
      </c>
      <c r="B29" s="20" t="s">
        <v>13</v>
      </c>
      <c r="C29" s="22" t="s">
        <v>15</v>
      </c>
      <c r="D29" s="22" t="s">
        <v>17</v>
      </c>
      <c r="E29" s="20" t="s">
        <v>257</v>
      </c>
      <c r="F29" s="21" t="s">
        <v>258</v>
      </c>
      <c r="G29" s="20" t="s">
        <v>178</v>
      </c>
      <c r="H29" s="22" t="s">
        <v>259</v>
      </c>
      <c r="I29" s="23">
        <f t="shared" si="2"/>
        <v>15</v>
      </c>
      <c r="J29" s="23">
        <v>15</v>
      </c>
      <c r="K29" s="20"/>
      <c r="L29" s="20" t="s">
        <v>145</v>
      </c>
      <c r="M29" s="20">
        <v>3842</v>
      </c>
      <c r="N29" s="20">
        <v>10430</v>
      </c>
      <c r="O29" s="20">
        <v>294</v>
      </c>
      <c r="P29" s="22">
        <v>640</v>
      </c>
      <c r="Q29" s="21" t="s">
        <v>260</v>
      </c>
      <c r="R29" s="20" t="s">
        <v>181</v>
      </c>
      <c r="S29" s="20" t="s">
        <v>148</v>
      </c>
      <c r="T29" s="20" t="s">
        <v>261</v>
      </c>
      <c r="U29" s="20"/>
    </row>
    <row r="30" s="3" customFormat="1" ht="105" customHeight="1" spans="1:21">
      <c r="A30" s="20">
        <f t="shared" si="4"/>
        <v>25</v>
      </c>
      <c r="B30" s="20" t="s">
        <v>13</v>
      </c>
      <c r="C30" s="20" t="s">
        <v>15</v>
      </c>
      <c r="D30" s="20" t="s">
        <v>17</v>
      </c>
      <c r="E30" s="20" t="s">
        <v>262</v>
      </c>
      <c r="F30" s="21" t="s">
        <v>263</v>
      </c>
      <c r="G30" s="20" t="s">
        <v>164</v>
      </c>
      <c r="H30" s="20" t="s">
        <v>264</v>
      </c>
      <c r="I30" s="23">
        <f t="shared" si="2"/>
        <v>11</v>
      </c>
      <c r="J30" s="29">
        <v>11</v>
      </c>
      <c r="K30" s="28"/>
      <c r="L30" s="28" t="s">
        <v>145</v>
      </c>
      <c r="M30" s="28">
        <v>434</v>
      </c>
      <c r="N30" s="28">
        <v>1174</v>
      </c>
      <c r="O30" s="28">
        <v>14</v>
      </c>
      <c r="P30" s="28">
        <v>31</v>
      </c>
      <c r="Q30" s="21" t="s">
        <v>265</v>
      </c>
      <c r="R30" s="20" t="s">
        <v>167</v>
      </c>
      <c r="S30" s="20" t="s">
        <v>148</v>
      </c>
      <c r="T30" s="20" t="s">
        <v>168</v>
      </c>
      <c r="U30" s="20"/>
    </row>
    <row r="31" s="3" customFormat="1" ht="105" customHeight="1" spans="1:21">
      <c r="A31" s="20">
        <f t="shared" si="4"/>
        <v>26</v>
      </c>
      <c r="B31" s="20" t="s">
        <v>13</v>
      </c>
      <c r="C31" s="20" t="s">
        <v>15</v>
      </c>
      <c r="D31" s="20" t="s">
        <v>17</v>
      </c>
      <c r="E31" s="20" t="s">
        <v>266</v>
      </c>
      <c r="F31" s="21" t="s">
        <v>267</v>
      </c>
      <c r="G31" s="20" t="s">
        <v>164</v>
      </c>
      <c r="H31" s="20" t="s">
        <v>268</v>
      </c>
      <c r="I31" s="23">
        <f t="shared" si="2"/>
        <v>44.2</v>
      </c>
      <c r="J31" s="29">
        <v>26.52</v>
      </c>
      <c r="K31" s="28">
        <v>17.68</v>
      </c>
      <c r="L31" s="28" t="s">
        <v>145</v>
      </c>
      <c r="M31" s="28">
        <v>318</v>
      </c>
      <c r="N31" s="28">
        <v>881</v>
      </c>
      <c r="O31" s="28">
        <v>20</v>
      </c>
      <c r="P31" s="28">
        <v>48</v>
      </c>
      <c r="Q31" s="21" t="s">
        <v>269</v>
      </c>
      <c r="R31" s="20" t="s">
        <v>167</v>
      </c>
      <c r="S31" s="20" t="s">
        <v>148</v>
      </c>
      <c r="T31" s="20" t="s">
        <v>168</v>
      </c>
      <c r="U31" s="20"/>
    </row>
    <row r="32" s="3" customFormat="1" ht="119" customHeight="1" spans="1:21">
      <c r="A32" s="20">
        <f t="shared" si="4"/>
        <v>27</v>
      </c>
      <c r="B32" s="20" t="s">
        <v>13</v>
      </c>
      <c r="C32" s="20" t="s">
        <v>15</v>
      </c>
      <c r="D32" s="20" t="s">
        <v>17</v>
      </c>
      <c r="E32" s="20" t="s">
        <v>270</v>
      </c>
      <c r="F32" s="21" t="s">
        <v>271</v>
      </c>
      <c r="G32" s="20" t="s">
        <v>272</v>
      </c>
      <c r="H32" s="20" t="s">
        <v>273</v>
      </c>
      <c r="I32" s="23">
        <f t="shared" si="2"/>
        <v>30</v>
      </c>
      <c r="J32" s="23">
        <v>30</v>
      </c>
      <c r="K32" s="20">
        <v>0</v>
      </c>
      <c r="L32" s="20" t="s">
        <v>145</v>
      </c>
      <c r="M32" s="20">
        <v>494</v>
      </c>
      <c r="N32" s="20">
        <v>1337</v>
      </c>
      <c r="O32" s="20">
        <v>21</v>
      </c>
      <c r="P32" s="20">
        <v>42</v>
      </c>
      <c r="Q32" s="21" t="s">
        <v>274</v>
      </c>
      <c r="R32" s="20" t="s">
        <v>275</v>
      </c>
      <c r="S32" s="20" t="s">
        <v>148</v>
      </c>
      <c r="T32" s="20" t="s">
        <v>276</v>
      </c>
      <c r="U32" s="28"/>
    </row>
    <row r="33" s="3" customFormat="1" ht="99" customHeight="1" spans="1:21">
      <c r="A33" s="20">
        <f t="shared" si="4"/>
        <v>28</v>
      </c>
      <c r="B33" s="20" t="s">
        <v>13</v>
      </c>
      <c r="C33" s="20" t="s">
        <v>15</v>
      </c>
      <c r="D33" s="20" t="s">
        <v>17</v>
      </c>
      <c r="E33" s="23" t="s">
        <v>277</v>
      </c>
      <c r="F33" s="24" t="s">
        <v>278</v>
      </c>
      <c r="G33" s="20" t="s">
        <v>279</v>
      </c>
      <c r="H33" s="20" t="s">
        <v>280</v>
      </c>
      <c r="I33" s="23">
        <f t="shared" si="2"/>
        <v>18</v>
      </c>
      <c r="J33" s="23">
        <v>10.8</v>
      </c>
      <c r="K33" s="20">
        <v>7.2</v>
      </c>
      <c r="L33" s="20" t="s">
        <v>145</v>
      </c>
      <c r="M33" s="28">
        <v>453</v>
      </c>
      <c r="N33" s="28">
        <v>1120</v>
      </c>
      <c r="O33" s="28">
        <v>15</v>
      </c>
      <c r="P33" s="28">
        <v>34</v>
      </c>
      <c r="Q33" s="21" t="s">
        <v>281</v>
      </c>
      <c r="R33" s="20" t="s">
        <v>282</v>
      </c>
      <c r="S33" s="20" t="s">
        <v>148</v>
      </c>
      <c r="T33" s="20" t="s">
        <v>283</v>
      </c>
      <c r="U33" s="20"/>
    </row>
    <row r="34" s="3" customFormat="1" ht="102" customHeight="1" spans="1:21">
      <c r="A34" s="20">
        <f t="shared" si="4"/>
        <v>29</v>
      </c>
      <c r="B34" s="20" t="s">
        <v>13</v>
      </c>
      <c r="C34" s="20" t="s">
        <v>15</v>
      </c>
      <c r="D34" s="20" t="s">
        <v>17</v>
      </c>
      <c r="E34" s="20" t="s">
        <v>284</v>
      </c>
      <c r="F34" s="21" t="s">
        <v>285</v>
      </c>
      <c r="G34" s="20" t="s">
        <v>185</v>
      </c>
      <c r="H34" s="20" t="s">
        <v>286</v>
      </c>
      <c r="I34" s="23">
        <f t="shared" si="2"/>
        <v>165</v>
      </c>
      <c r="J34" s="29">
        <v>165</v>
      </c>
      <c r="K34" s="28"/>
      <c r="L34" s="20" t="s">
        <v>145</v>
      </c>
      <c r="M34" s="28">
        <v>369</v>
      </c>
      <c r="N34" s="28">
        <v>1023</v>
      </c>
      <c r="O34" s="28">
        <v>16</v>
      </c>
      <c r="P34" s="28">
        <v>26</v>
      </c>
      <c r="Q34" s="21" t="s">
        <v>287</v>
      </c>
      <c r="R34" s="20" t="s">
        <v>188</v>
      </c>
      <c r="S34" s="20" t="s">
        <v>148</v>
      </c>
      <c r="T34" s="20" t="s">
        <v>189</v>
      </c>
      <c r="U34" s="28"/>
    </row>
    <row r="35" s="3" customFormat="1" ht="102" customHeight="1" spans="1:21">
      <c r="A35" s="20">
        <f t="shared" si="4"/>
        <v>30</v>
      </c>
      <c r="B35" s="20" t="s">
        <v>13</v>
      </c>
      <c r="C35" s="20" t="s">
        <v>15</v>
      </c>
      <c r="D35" s="20" t="s">
        <v>17</v>
      </c>
      <c r="E35" s="20" t="s">
        <v>288</v>
      </c>
      <c r="F35" s="21" t="s">
        <v>289</v>
      </c>
      <c r="G35" s="20" t="s">
        <v>185</v>
      </c>
      <c r="H35" s="20" t="s">
        <v>290</v>
      </c>
      <c r="I35" s="23">
        <f t="shared" si="2"/>
        <v>85</v>
      </c>
      <c r="J35" s="29">
        <v>85</v>
      </c>
      <c r="K35" s="28"/>
      <c r="L35" s="20" t="s">
        <v>145</v>
      </c>
      <c r="M35" s="28">
        <v>301</v>
      </c>
      <c r="N35" s="28">
        <v>818</v>
      </c>
      <c r="O35" s="28">
        <v>23</v>
      </c>
      <c r="P35" s="28">
        <v>45</v>
      </c>
      <c r="Q35" s="21" t="s">
        <v>291</v>
      </c>
      <c r="R35" s="20" t="s">
        <v>188</v>
      </c>
      <c r="S35" s="20" t="s">
        <v>148</v>
      </c>
      <c r="T35" s="20" t="s">
        <v>189</v>
      </c>
      <c r="U35" s="28"/>
    </row>
    <row r="36" s="3" customFormat="1" ht="113" customHeight="1" spans="1:21">
      <c r="A36" s="20">
        <f t="shared" si="4"/>
        <v>31</v>
      </c>
      <c r="B36" s="20" t="s">
        <v>13</v>
      </c>
      <c r="C36" s="20" t="s">
        <v>15</v>
      </c>
      <c r="D36" s="20" t="s">
        <v>17</v>
      </c>
      <c r="E36" s="20" t="s">
        <v>292</v>
      </c>
      <c r="F36" s="21" t="s">
        <v>293</v>
      </c>
      <c r="G36" s="20" t="s">
        <v>178</v>
      </c>
      <c r="H36" s="20" t="s">
        <v>294</v>
      </c>
      <c r="I36" s="23">
        <f t="shared" si="2"/>
        <v>4.8</v>
      </c>
      <c r="J36" s="23">
        <v>4.8</v>
      </c>
      <c r="K36" s="20"/>
      <c r="L36" s="20" t="s">
        <v>145</v>
      </c>
      <c r="M36" s="20">
        <v>370</v>
      </c>
      <c r="N36" s="20">
        <v>1041</v>
      </c>
      <c r="O36" s="20">
        <v>16</v>
      </c>
      <c r="P36" s="20">
        <v>35</v>
      </c>
      <c r="Q36" s="21" t="s">
        <v>295</v>
      </c>
      <c r="R36" s="20" t="s">
        <v>181</v>
      </c>
      <c r="S36" s="20" t="s">
        <v>148</v>
      </c>
      <c r="T36" s="20" t="s">
        <v>296</v>
      </c>
      <c r="U36" s="28"/>
    </row>
    <row r="37" s="3" customFormat="1" ht="107" customHeight="1" spans="1:21">
      <c r="A37" s="20">
        <f t="shared" ref="A37:A46" si="5">ROW()-5</f>
        <v>32</v>
      </c>
      <c r="B37" s="22" t="s">
        <v>13</v>
      </c>
      <c r="C37" s="22" t="s">
        <v>15</v>
      </c>
      <c r="D37" s="22" t="s">
        <v>17</v>
      </c>
      <c r="E37" s="20" t="s">
        <v>297</v>
      </c>
      <c r="F37" s="21" t="s">
        <v>298</v>
      </c>
      <c r="G37" s="20" t="s">
        <v>220</v>
      </c>
      <c r="H37" s="20" t="s">
        <v>299</v>
      </c>
      <c r="I37" s="23">
        <f t="shared" si="2"/>
        <v>102.24</v>
      </c>
      <c r="J37" s="23">
        <v>102.24</v>
      </c>
      <c r="K37" s="20">
        <v>0</v>
      </c>
      <c r="L37" s="20" t="s">
        <v>145</v>
      </c>
      <c r="M37" s="20">
        <v>299</v>
      </c>
      <c r="N37" s="20">
        <v>1215</v>
      </c>
      <c r="O37" s="20">
        <v>10</v>
      </c>
      <c r="P37" s="20">
        <v>20</v>
      </c>
      <c r="Q37" s="21" t="s">
        <v>300</v>
      </c>
      <c r="R37" s="20" t="s">
        <v>223</v>
      </c>
      <c r="S37" s="20" t="s">
        <v>148</v>
      </c>
      <c r="T37" s="20" t="s">
        <v>301</v>
      </c>
      <c r="U37" s="20"/>
    </row>
    <row r="38" s="3" customFormat="1" ht="114" customHeight="1" spans="1:21">
      <c r="A38" s="20">
        <f t="shared" si="5"/>
        <v>33</v>
      </c>
      <c r="B38" s="20" t="s">
        <v>13</v>
      </c>
      <c r="C38" s="20" t="s">
        <v>15</v>
      </c>
      <c r="D38" s="20" t="s">
        <v>17</v>
      </c>
      <c r="E38" s="20" t="s">
        <v>302</v>
      </c>
      <c r="F38" s="21" t="s">
        <v>303</v>
      </c>
      <c r="G38" s="20" t="s">
        <v>164</v>
      </c>
      <c r="H38" s="20" t="s">
        <v>268</v>
      </c>
      <c r="I38" s="23">
        <f t="shared" si="2"/>
        <v>100</v>
      </c>
      <c r="J38" s="29">
        <v>100</v>
      </c>
      <c r="K38" s="28"/>
      <c r="L38" s="28" t="s">
        <v>145</v>
      </c>
      <c r="M38" s="28">
        <v>53</v>
      </c>
      <c r="N38" s="28">
        <v>130</v>
      </c>
      <c r="O38" s="28">
        <v>3</v>
      </c>
      <c r="P38" s="28">
        <v>5</v>
      </c>
      <c r="Q38" s="21" t="s">
        <v>304</v>
      </c>
      <c r="R38" s="20" t="s">
        <v>167</v>
      </c>
      <c r="S38" s="20" t="s">
        <v>148</v>
      </c>
      <c r="T38" s="20" t="s">
        <v>168</v>
      </c>
      <c r="U38" s="20"/>
    </row>
    <row r="39" s="3" customFormat="1" ht="122" customHeight="1" spans="1:21">
      <c r="A39" s="20">
        <f t="shared" si="5"/>
        <v>34</v>
      </c>
      <c r="B39" s="20" t="s">
        <v>13</v>
      </c>
      <c r="C39" s="20" t="s">
        <v>15</v>
      </c>
      <c r="D39" s="20" t="s">
        <v>17</v>
      </c>
      <c r="E39" s="20" t="s">
        <v>305</v>
      </c>
      <c r="F39" s="21" t="s">
        <v>306</v>
      </c>
      <c r="G39" s="20" t="s">
        <v>152</v>
      </c>
      <c r="H39" s="20" t="s">
        <v>307</v>
      </c>
      <c r="I39" s="23">
        <f t="shared" si="2"/>
        <v>30</v>
      </c>
      <c r="J39" s="23">
        <v>30</v>
      </c>
      <c r="K39" s="20"/>
      <c r="L39" s="20" t="s">
        <v>145</v>
      </c>
      <c r="M39" s="20">
        <v>104</v>
      </c>
      <c r="N39" s="20">
        <v>334</v>
      </c>
      <c r="O39" s="20">
        <v>5</v>
      </c>
      <c r="P39" s="20">
        <v>13</v>
      </c>
      <c r="Q39" s="21" t="s">
        <v>308</v>
      </c>
      <c r="R39" s="20" t="s">
        <v>155</v>
      </c>
      <c r="S39" s="20" t="s">
        <v>148</v>
      </c>
      <c r="T39" s="20" t="s">
        <v>156</v>
      </c>
      <c r="U39" s="20"/>
    </row>
    <row r="40" s="3" customFormat="1" ht="118" customHeight="1" spans="1:21">
      <c r="A40" s="20">
        <f t="shared" si="5"/>
        <v>35</v>
      </c>
      <c r="B40" s="20" t="s">
        <v>13</v>
      </c>
      <c r="C40" s="20" t="s">
        <v>15</v>
      </c>
      <c r="D40" s="20" t="s">
        <v>17</v>
      </c>
      <c r="E40" s="20" t="s">
        <v>309</v>
      </c>
      <c r="F40" s="21" t="s">
        <v>310</v>
      </c>
      <c r="G40" s="20" t="s">
        <v>152</v>
      </c>
      <c r="H40" s="20" t="s">
        <v>307</v>
      </c>
      <c r="I40" s="23">
        <f t="shared" si="2"/>
        <v>15</v>
      </c>
      <c r="J40" s="23">
        <v>15</v>
      </c>
      <c r="K40" s="20"/>
      <c r="L40" s="20" t="s">
        <v>145</v>
      </c>
      <c r="M40" s="20">
        <v>39</v>
      </c>
      <c r="N40" s="20">
        <v>124</v>
      </c>
      <c r="O40" s="20">
        <v>3</v>
      </c>
      <c r="P40" s="20">
        <v>8</v>
      </c>
      <c r="Q40" s="21" t="s">
        <v>311</v>
      </c>
      <c r="R40" s="20" t="s">
        <v>155</v>
      </c>
      <c r="S40" s="20" t="s">
        <v>148</v>
      </c>
      <c r="T40" s="20" t="s">
        <v>156</v>
      </c>
      <c r="U40" s="20"/>
    </row>
    <row r="41" s="3" customFormat="1" ht="137" customHeight="1" spans="1:21">
      <c r="A41" s="20">
        <f t="shared" si="5"/>
        <v>36</v>
      </c>
      <c r="B41" s="20" t="s">
        <v>13</v>
      </c>
      <c r="C41" s="20" t="s">
        <v>15</v>
      </c>
      <c r="D41" s="20" t="s">
        <v>17</v>
      </c>
      <c r="E41" s="20" t="s">
        <v>312</v>
      </c>
      <c r="F41" s="21" t="s">
        <v>313</v>
      </c>
      <c r="G41" s="20" t="s">
        <v>152</v>
      </c>
      <c r="H41" s="20" t="s">
        <v>314</v>
      </c>
      <c r="I41" s="23">
        <f t="shared" si="2"/>
        <v>80</v>
      </c>
      <c r="J41" s="23">
        <v>80</v>
      </c>
      <c r="K41" s="20"/>
      <c r="L41" s="20" t="s">
        <v>145</v>
      </c>
      <c r="M41" s="20">
        <v>381</v>
      </c>
      <c r="N41" s="20">
        <v>1030</v>
      </c>
      <c r="O41" s="20">
        <v>15</v>
      </c>
      <c r="P41" s="20">
        <v>30</v>
      </c>
      <c r="Q41" s="21" t="s">
        <v>315</v>
      </c>
      <c r="R41" s="20" t="s">
        <v>155</v>
      </c>
      <c r="S41" s="20" t="s">
        <v>148</v>
      </c>
      <c r="T41" s="20" t="s">
        <v>156</v>
      </c>
      <c r="U41" s="20"/>
    </row>
    <row r="42" s="3" customFormat="1" ht="118" customHeight="1" spans="1:21">
      <c r="A42" s="20">
        <f t="shared" si="5"/>
        <v>37</v>
      </c>
      <c r="B42" s="20" t="s">
        <v>13</v>
      </c>
      <c r="C42" s="20" t="s">
        <v>15</v>
      </c>
      <c r="D42" s="20" t="s">
        <v>17</v>
      </c>
      <c r="E42" s="20" t="s">
        <v>316</v>
      </c>
      <c r="F42" s="21" t="s">
        <v>317</v>
      </c>
      <c r="G42" s="20" t="s">
        <v>152</v>
      </c>
      <c r="H42" s="20" t="s">
        <v>318</v>
      </c>
      <c r="I42" s="23">
        <f t="shared" si="2"/>
        <v>40</v>
      </c>
      <c r="J42" s="23">
        <v>40</v>
      </c>
      <c r="K42" s="20"/>
      <c r="L42" s="20" t="s">
        <v>145</v>
      </c>
      <c r="M42" s="20">
        <v>63</v>
      </c>
      <c r="N42" s="20">
        <v>189</v>
      </c>
      <c r="O42" s="20">
        <v>1</v>
      </c>
      <c r="P42" s="20">
        <v>1</v>
      </c>
      <c r="Q42" s="21" t="s">
        <v>319</v>
      </c>
      <c r="R42" s="20" t="s">
        <v>155</v>
      </c>
      <c r="S42" s="20" t="s">
        <v>148</v>
      </c>
      <c r="T42" s="20" t="s">
        <v>320</v>
      </c>
      <c r="U42" s="20"/>
    </row>
    <row r="43" s="3" customFormat="1" ht="110" customHeight="1" spans="1:21">
      <c r="A43" s="20">
        <f t="shared" si="5"/>
        <v>38</v>
      </c>
      <c r="B43" s="20" t="s">
        <v>13</v>
      </c>
      <c r="C43" s="20" t="s">
        <v>15</v>
      </c>
      <c r="D43" s="20" t="s">
        <v>17</v>
      </c>
      <c r="E43" s="20" t="s">
        <v>321</v>
      </c>
      <c r="F43" s="21" t="s">
        <v>322</v>
      </c>
      <c r="G43" s="20" t="s">
        <v>152</v>
      </c>
      <c r="H43" s="20" t="s">
        <v>323</v>
      </c>
      <c r="I43" s="23">
        <f t="shared" si="2"/>
        <v>80</v>
      </c>
      <c r="J43" s="23">
        <v>80</v>
      </c>
      <c r="K43" s="20"/>
      <c r="L43" s="20" t="s">
        <v>145</v>
      </c>
      <c r="M43" s="20">
        <v>40</v>
      </c>
      <c r="N43" s="20">
        <v>94</v>
      </c>
      <c r="O43" s="20">
        <v>3</v>
      </c>
      <c r="P43" s="20">
        <v>6</v>
      </c>
      <c r="Q43" s="21" t="s">
        <v>324</v>
      </c>
      <c r="R43" s="20" t="s">
        <v>155</v>
      </c>
      <c r="S43" s="20" t="s">
        <v>148</v>
      </c>
      <c r="T43" s="20" t="s">
        <v>325</v>
      </c>
      <c r="U43" s="20"/>
    </row>
    <row r="44" s="3" customFormat="1" ht="108" customHeight="1" spans="1:21">
      <c r="A44" s="20">
        <f t="shared" si="5"/>
        <v>39</v>
      </c>
      <c r="B44" s="20" t="s">
        <v>13</v>
      </c>
      <c r="C44" s="20" t="s">
        <v>15</v>
      </c>
      <c r="D44" s="20" t="s">
        <v>17</v>
      </c>
      <c r="E44" s="20" t="s">
        <v>326</v>
      </c>
      <c r="F44" s="21" t="s">
        <v>327</v>
      </c>
      <c r="G44" s="20" t="s">
        <v>164</v>
      </c>
      <c r="H44" s="20" t="s">
        <v>328</v>
      </c>
      <c r="I44" s="23">
        <f t="shared" si="2"/>
        <v>95</v>
      </c>
      <c r="J44" s="29">
        <v>95</v>
      </c>
      <c r="K44" s="28"/>
      <c r="L44" s="28" t="s">
        <v>145</v>
      </c>
      <c r="M44" s="28">
        <v>205</v>
      </c>
      <c r="N44" s="28">
        <v>548</v>
      </c>
      <c r="O44" s="28">
        <v>6</v>
      </c>
      <c r="P44" s="28">
        <v>15</v>
      </c>
      <c r="Q44" s="21" t="s">
        <v>329</v>
      </c>
      <c r="R44" s="20" t="s">
        <v>167</v>
      </c>
      <c r="S44" s="20" t="s">
        <v>148</v>
      </c>
      <c r="T44" s="20" t="s">
        <v>168</v>
      </c>
      <c r="U44" s="20"/>
    </row>
    <row r="45" s="3" customFormat="1" ht="117" customHeight="1" spans="1:21">
      <c r="A45" s="20">
        <f t="shared" si="5"/>
        <v>40</v>
      </c>
      <c r="B45" s="20" t="s">
        <v>13</v>
      </c>
      <c r="C45" s="20" t="s">
        <v>15</v>
      </c>
      <c r="D45" s="20" t="s">
        <v>17</v>
      </c>
      <c r="E45" s="20" t="s">
        <v>330</v>
      </c>
      <c r="F45" s="21" t="s">
        <v>331</v>
      </c>
      <c r="G45" s="20" t="s">
        <v>164</v>
      </c>
      <c r="H45" s="20" t="s">
        <v>268</v>
      </c>
      <c r="I45" s="23">
        <f t="shared" si="2"/>
        <v>224.36</v>
      </c>
      <c r="J45" s="29">
        <v>224.36</v>
      </c>
      <c r="K45" s="28"/>
      <c r="L45" s="28" t="s">
        <v>145</v>
      </c>
      <c r="M45" s="28">
        <v>81</v>
      </c>
      <c r="N45" s="28">
        <v>255</v>
      </c>
      <c r="O45" s="28">
        <v>4</v>
      </c>
      <c r="P45" s="28">
        <v>13</v>
      </c>
      <c r="Q45" s="21" t="s">
        <v>332</v>
      </c>
      <c r="R45" s="20" t="s">
        <v>167</v>
      </c>
      <c r="S45" s="20" t="s">
        <v>148</v>
      </c>
      <c r="T45" s="20" t="s">
        <v>168</v>
      </c>
      <c r="U45" s="20"/>
    </row>
    <row r="46" s="3" customFormat="1" ht="132" customHeight="1" spans="1:21">
      <c r="A46" s="20">
        <f t="shared" si="5"/>
        <v>41</v>
      </c>
      <c r="B46" s="20" t="s">
        <v>13</v>
      </c>
      <c r="C46" s="20" t="s">
        <v>15</v>
      </c>
      <c r="D46" s="20" t="s">
        <v>17</v>
      </c>
      <c r="E46" s="20" t="s">
        <v>333</v>
      </c>
      <c r="F46" s="21" t="s">
        <v>334</v>
      </c>
      <c r="G46" s="20" t="s">
        <v>164</v>
      </c>
      <c r="H46" s="20" t="s">
        <v>335</v>
      </c>
      <c r="I46" s="23">
        <f t="shared" si="2"/>
        <v>164</v>
      </c>
      <c r="J46" s="29">
        <v>164</v>
      </c>
      <c r="K46" s="28"/>
      <c r="L46" s="28" t="s">
        <v>145</v>
      </c>
      <c r="M46" s="28">
        <v>109</v>
      </c>
      <c r="N46" s="28">
        <v>275</v>
      </c>
      <c r="O46" s="28">
        <v>3</v>
      </c>
      <c r="P46" s="28">
        <v>4</v>
      </c>
      <c r="Q46" s="21" t="s">
        <v>336</v>
      </c>
      <c r="R46" s="20" t="s">
        <v>167</v>
      </c>
      <c r="S46" s="20" t="s">
        <v>148</v>
      </c>
      <c r="T46" s="20" t="s">
        <v>168</v>
      </c>
      <c r="U46" s="20"/>
    </row>
    <row r="47" s="3" customFormat="1" ht="112" customHeight="1" spans="1:21">
      <c r="A47" s="20">
        <f t="shared" ref="A47:A56" si="6">ROW()-5</f>
        <v>42</v>
      </c>
      <c r="B47" s="20" t="s">
        <v>13</v>
      </c>
      <c r="C47" s="20" t="s">
        <v>15</v>
      </c>
      <c r="D47" s="20" t="s">
        <v>17</v>
      </c>
      <c r="E47" s="20" t="s">
        <v>337</v>
      </c>
      <c r="F47" s="21" t="s">
        <v>338</v>
      </c>
      <c r="G47" s="20" t="s">
        <v>164</v>
      </c>
      <c r="H47" s="20" t="s">
        <v>339</v>
      </c>
      <c r="I47" s="23">
        <f t="shared" si="2"/>
        <v>12</v>
      </c>
      <c r="J47" s="29">
        <v>12</v>
      </c>
      <c r="K47" s="28"/>
      <c r="L47" s="28" t="s">
        <v>145</v>
      </c>
      <c r="M47" s="28">
        <v>90</v>
      </c>
      <c r="N47" s="28">
        <v>223</v>
      </c>
      <c r="O47" s="28">
        <v>3</v>
      </c>
      <c r="P47" s="28">
        <v>4</v>
      </c>
      <c r="Q47" s="21" t="s">
        <v>340</v>
      </c>
      <c r="R47" s="20" t="s">
        <v>167</v>
      </c>
      <c r="S47" s="20" t="s">
        <v>148</v>
      </c>
      <c r="T47" s="20" t="s">
        <v>168</v>
      </c>
      <c r="U47" s="20"/>
    </row>
    <row r="48" s="3" customFormat="1" ht="93" customHeight="1" spans="1:21">
      <c r="A48" s="20">
        <f t="shared" si="6"/>
        <v>43</v>
      </c>
      <c r="B48" s="20" t="s">
        <v>13</v>
      </c>
      <c r="C48" s="20" t="s">
        <v>15</v>
      </c>
      <c r="D48" s="20" t="s">
        <v>17</v>
      </c>
      <c r="E48" s="20" t="s">
        <v>341</v>
      </c>
      <c r="F48" s="21" t="s">
        <v>342</v>
      </c>
      <c r="G48" s="20" t="s">
        <v>343</v>
      </c>
      <c r="H48" s="20" t="s">
        <v>344</v>
      </c>
      <c r="I48" s="23">
        <f t="shared" si="2"/>
        <v>27.6</v>
      </c>
      <c r="J48" s="29">
        <v>27.6</v>
      </c>
      <c r="K48" s="28"/>
      <c r="L48" s="28" t="s">
        <v>145</v>
      </c>
      <c r="M48" s="28">
        <v>63</v>
      </c>
      <c r="N48" s="28">
        <v>214</v>
      </c>
      <c r="O48" s="28">
        <v>2</v>
      </c>
      <c r="P48" s="28">
        <v>5</v>
      </c>
      <c r="Q48" s="21" t="s">
        <v>345</v>
      </c>
      <c r="R48" s="20" t="s">
        <v>346</v>
      </c>
      <c r="S48" s="20" t="s">
        <v>148</v>
      </c>
      <c r="T48" s="20" t="s">
        <v>347</v>
      </c>
      <c r="U48" s="20"/>
    </row>
    <row r="49" s="3" customFormat="1" ht="93" customHeight="1" spans="1:21">
      <c r="A49" s="20">
        <f t="shared" si="6"/>
        <v>44</v>
      </c>
      <c r="B49" s="20" t="s">
        <v>13</v>
      </c>
      <c r="C49" s="20" t="s">
        <v>15</v>
      </c>
      <c r="D49" s="20" t="s">
        <v>17</v>
      </c>
      <c r="E49" s="20" t="s">
        <v>348</v>
      </c>
      <c r="F49" s="21" t="s">
        <v>349</v>
      </c>
      <c r="G49" s="20" t="s">
        <v>343</v>
      </c>
      <c r="H49" s="20" t="s">
        <v>344</v>
      </c>
      <c r="I49" s="23">
        <f t="shared" si="2"/>
        <v>23</v>
      </c>
      <c r="J49" s="29">
        <v>23</v>
      </c>
      <c r="K49" s="28"/>
      <c r="L49" s="28" t="s">
        <v>145</v>
      </c>
      <c r="M49" s="28">
        <v>60</v>
      </c>
      <c r="N49" s="28">
        <v>189</v>
      </c>
      <c r="O49" s="28">
        <v>1</v>
      </c>
      <c r="P49" s="28">
        <v>2</v>
      </c>
      <c r="Q49" s="21" t="s">
        <v>350</v>
      </c>
      <c r="R49" s="20" t="s">
        <v>346</v>
      </c>
      <c r="S49" s="20" t="s">
        <v>148</v>
      </c>
      <c r="T49" s="20" t="s">
        <v>347</v>
      </c>
      <c r="U49" s="28"/>
    </row>
    <row r="50" s="3" customFormat="1" ht="93" customHeight="1" spans="1:21">
      <c r="A50" s="20">
        <f t="shared" si="6"/>
        <v>45</v>
      </c>
      <c r="B50" s="20" t="s">
        <v>13</v>
      </c>
      <c r="C50" s="20" t="s">
        <v>15</v>
      </c>
      <c r="D50" s="20" t="s">
        <v>17</v>
      </c>
      <c r="E50" s="20" t="s">
        <v>351</v>
      </c>
      <c r="F50" s="21" t="s">
        <v>352</v>
      </c>
      <c r="G50" s="20" t="s">
        <v>343</v>
      </c>
      <c r="H50" s="20" t="s">
        <v>344</v>
      </c>
      <c r="I50" s="23">
        <f t="shared" si="2"/>
        <v>8</v>
      </c>
      <c r="J50" s="29">
        <v>8</v>
      </c>
      <c r="K50" s="28"/>
      <c r="L50" s="28" t="s">
        <v>145</v>
      </c>
      <c r="M50" s="28">
        <v>32</v>
      </c>
      <c r="N50" s="28">
        <v>104</v>
      </c>
      <c r="O50" s="28">
        <v>2</v>
      </c>
      <c r="P50" s="28">
        <v>5</v>
      </c>
      <c r="Q50" s="21" t="s">
        <v>353</v>
      </c>
      <c r="R50" s="20" t="s">
        <v>346</v>
      </c>
      <c r="S50" s="20" t="s">
        <v>148</v>
      </c>
      <c r="T50" s="20" t="s">
        <v>347</v>
      </c>
      <c r="U50" s="28"/>
    </row>
    <row r="51" s="3" customFormat="1" ht="132" customHeight="1" spans="1:21">
      <c r="A51" s="20">
        <f t="shared" si="6"/>
        <v>46</v>
      </c>
      <c r="B51" s="20" t="s">
        <v>13</v>
      </c>
      <c r="C51" s="20" t="s">
        <v>15</v>
      </c>
      <c r="D51" s="20" t="s">
        <v>17</v>
      </c>
      <c r="E51" s="20" t="s">
        <v>354</v>
      </c>
      <c r="F51" s="21" t="s">
        <v>355</v>
      </c>
      <c r="G51" s="20" t="s">
        <v>272</v>
      </c>
      <c r="H51" s="20" t="s">
        <v>356</v>
      </c>
      <c r="I51" s="23">
        <f t="shared" si="2"/>
        <v>100</v>
      </c>
      <c r="J51" s="23">
        <v>100</v>
      </c>
      <c r="K51" s="20">
        <v>0</v>
      </c>
      <c r="L51" s="20" t="s">
        <v>145</v>
      </c>
      <c r="M51" s="20">
        <v>78</v>
      </c>
      <c r="N51" s="20">
        <v>203</v>
      </c>
      <c r="O51" s="20">
        <v>5</v>
      </c>
      <c r="P51" s="20">
        <v>6</v>
      </c>
      <c r="Q51" s="21" t="s">
        <v>357</v>
      </c>
      <c r="R51" s="20" t="s">
        <v>275</v>
      </c>
      <c r="S51" s="20" t="s">
        <v>148</v>
      </c>
      <c r="T51" s="20" t="s">
        <v>276</v>
      </c>
      <c r="U51" s="28"/>
    </row>
    <row r="52" s="3" customFormat="1" ht="107" customHeight="1" spans="1:21">
      <c r="A52" s="20">
        <f t="shared" si="6"/>
        <v>47</v>
      </c>
      <c r="B52" s="20" t="s">
        <v>13</v>
      </c>
      <c r="C52" s="20" t="s">
        <v>15</v>
      </c>
      <c r="D52" s="20" t="s">
        <v>17</v>
      </c>
      <c r="E52" s="20" t="s">
        <v>358</v>
      </c>
      <c r="F52" s="21" t="s">
        <v>359</v>
      </c>
      <c r="G52" s="20" t="s">
        <v>272</v>
      </c>
      <c r="H52" s="20" t="s">
        <v>356</v>
      </c>
      <c r="I52" s="23">
        <f t="shared" si="2"/>
        <v>40</v>
      </c>
      <c r="J52" s="23">
        <v>40</v>
      </c>
      <c r="K52" s="20">
        <v>0</v>
      </c>
      <c r="L52" s="20" t="s">
        <v>145</v>
      </c>
      <c r="M52" s="20">
        <v>88</v>
      </c>
      <c r="N52" s="20">
        <v>241</v>
      </c>
      <c r="O52" s="20">
        <v>2</v>
      </c>
      <c r="P52" s="20">
        <v>4</v>
      </c>
      <c r="Q52" s="21" t="s">
        <v>360</v>
      </c>
      <c r="R52" s="20" t="s">
        <v>275</v>
      </c>
      <c r="S52" s="20" t="s">
        <v>148</v>
      </c>
      <c r="T52" s="20" t="s">
        <v>276</v>
      </c>
      <c r="U52" s="28"/>
    </row>
    <row r="53" s="3" customFormat="1" ht="141" customHeight="1" spans="1:21">
      <c r="A53" s="20">
        <f t="shared" si="6"/>
        <v>48</v>
      </c>
      <c r="B53" s="20" t="s">
        <v>13</v>
      </c>
      <c r="C53" s="20" t="s">
        <v>15</v>
      </c>
      <c r="D53" s="20" t="s">
        <v>17</v>
      </c>
      <c r="E53" s="20" t="s">
        <v>361</v>
      </c>
      <c r="F53" s="21" t="s">
        <v>362</v>
      </c>
      <c r="G53" s="20" t="s">
        <v>272</v>
      </c>
      <c r="H53" s="20" t="s">
        <v>363</v>
      </c>
      <c r="I53" s="23">
        <f t="shared" si="2"/>
        <v>172</v>
      </c>
      <c r="J53" s="23">
        <v>172</v>
      </c>
      <c r="K53" s="20">
        <v>0</v>
      </c>
      <c r="L53" s="20" t="s">
        <v>145</v>
      </c>
      <c r="M53" s="20">
        <v>33</v>
      </c>
      <c r="N53" s="20">
        <v>82</v>
      </c>
      <c r="O53" s="20">
        <v>3</v>
      </c>
      <c r="P53" s="20">
        <v>8</v>
      </c>
      <c r="Q53" s="21" t="s">
        <v>364</v>
      </c>
      <c r="R53" s="20" t="s">
        <v>275</v>
      </c>
      <c r="S53" s="20" t="s">
        <v>148</v>
      </c>
      <c r="T53" s="20" t="s">
        <v>276</v>
      </c>
      <c r="U53" s="28"/>
    </row>
    <row r="54" s="3" customFormat="1" ht="141" customHeight="1" spans="1:21">
      <c r="A54" s="20">
        <f t="shared" si="6"/>
        <v>49</v>
      </c>
      <c r="B54" s="20" t="s">
        <v>13</v>
      </c>
      <c r="C54" s="20" t="s">
        <v>15</v>
      </c>
      <c r="D54" s="20" t="s">
        <v>17</v>
      </c>
      <c r="E54" s="20" t="s">
        <v>365</v>
      </c>
      <c r="F54" s="21" t="s">
        <v>366</v>
      </c>
      <c r="G54" s="20" t="s">
        <v>272</v>
      </c>
      <c r="H54" s="20" t="s">
        <v>363</v>
      </c>
      <c r="I54" s="23">
        <f t="shared" si="2"/>
        <v>122</v>
      </c>
      <c r="J54" s="23">
        <v>122</v>
      </c>
      <c r="K54" s="20">
        <v>0</v>
      </c>
      <c r="L54" s="20" t="s">
        <v>145</v>
      </c>
      <c r="M54" s="20">
        <v>30</v>
      </c>
      <c r="N54" s="20">
        <v>80</v>
      </c>
      <c r="O54" s="20">
        <v>0</v>
      </c>
      <c r="P54" s="20">
        <v>0</v>
      </c>
      <c r="Q54" s="21" t="s">
        <v>367</v>
      </c>
      <c r="R54" s="20" t="s">
        <v>275</v>
      </c>
      <c r="S54" s="20" t="s">
        <v>148</v>
      </c>
      <c r="T54" s="20" t="s">
        <v>276</v>
      </c>
      <c r="U54" s="28"/>
    </row>
    <row r="55" s="3" customFormat="1" ht="206" customHeight="1" spans="1:21">
      <c r="A55" s="20">
        <f t="shared" si="6"/>
        <v>50</v>
      </c>
      <c r="B55" s="20" t="s">
        <v>13</v>
      </c>
      <c r="C55" s="23" t="s">
        <v>15</v>
      </c>
      <c r="D55" s="23" t="s">
        <v>17</v>
      </c>
      <c r="E55" s="20" t="s">
        <v>368</v>
      </c>
      <c r="F55" s="21" t="s">
        <v>369</v>
      </c>
      <c r="G55" s="23" t="s">
        <v>370</v>
      </c>
      <c r="H55" s="23" t="s">
        <v>371</v>
      </c>
      <c r="I55" s="23">
        <f t="shared" si="2"/>
        <v>30</v>
      </c>
      <c r="J55" s="23">
        <v>30</v>
      </c>
      <c r="K55" s="28"/>
      <c r="L55" s="20" t="s">
        <v>145</v>
      </c>
      <c r="M55" s="20">
        <v>617</v>
      </c>
      <c r="N55" s="20">
        <v>1498</v>
      </c>
      <c r="O55" s="20">
        <v>52</v>
      </c>
      <c r="P55" s="20">
        <f>82+3</f>
        <v>85</v>
      </c>
      <c r="Q55" s="21" t="s">
        <v>372</v>
      </c>
      <c r="R55" s="20" t="s">
        <v>373</v>
      </c>
      <c r="S55" s="20" t="s">
        <v>148</v>
      </c>
      <c r="T55" s="20" t="s">
        <v>283</v>
      </c>
      <c r="U55" s="20"/>
    </row>
    <row r="56" s="3" customFormat="1" ht="122" customHeight="1" spans="1:21">
      <c r="A56" s="20">
        <f t="shared" si="6"/>
        <v>51</v>
      </c>
      <c r="B56" s="20" t="s">
        <v>13</v>
      </c>
      <c r="C56" s="20" t="s">
        <v>15</v>
      </c>
      <c r="D56" s="20" t="s">
        <v>17</v>
      </c>
      <c r="E56" s="20" t="s">
        <v>374</v>
      </c>
      <c r="F56" s="21" t="s">
        <v>375</v>
      </c>
      <c r="G56" s="20" t="s">
        <v>185</v>
      </c>
      <c r="H56" s="20" t="s">
        <v>376</v>
      </c>
      <c r="I56" s="23">
        <f t="shared" si="2"/>
        <v>79.8</v>
      </c>
      <c r="J56" s="23">
        <v>79.8</v>
      </c>
      <c r="K56" s="28"/>
      <c r="L56" s="28" t="s">
        <v>145</v>
      </c>
      <c r="M56" s="28">
        <v>108</v>
      </c>
      <c r="N56" s="28">
        <v>310</v>
      </c>
      <c r="O56" s="28">
        <v>2</v>
      </c>
      <c r="P56" s="28">
        <v>5</v>
      </c>
      <c r="Q56" s="21" t="s">
        <v>377</v>
      </c>
      <c r="R56" s="20" t="s">
        <v>188</v>
      </c>
      <c r="S56" s="20" t="s">
        <v>148</v>
      </c>
      <c r="T56" s="20" t="s">
        <v>189</v>
      </c>
      <c r="U56" s="28"/>
    </row>
    <row r="57" ht="297" customHeight="1" spans="1:21">
      <c r="A57" s="20">
        <f t="shared" ref="A57:A66" si="7">ROW()-5</f>
        <v>52</v>
      </c>
      <c r="B57" s="22" t="s">
        <v>13</v>
      </c>
      <c r="C57" s="22" t="s">
        <v>15</v>
      </c>
      <c r="D57" s="22" t="s">
        <v>17</v>
      </c>
      <c r="E57" s="22" t="s">
        <v>378</v>
      </c>
      <c r="F57" s="25" t="s">
        <v>379</v>
      </c>
      <c r="G57" s="22" t="s">
        <v>143</v>
      </c>
      <c r="H57" s="22" t="s">
        <v>380</v>
      </c>
      <c r="I57" s="23">
        <f t="shared" si="2"/>
        <v>4.52</v>
      </c>
      <c r="J57" s="30">
        <v>4.52</v>
      </c>
      <c r="K57" s="20"/>
      <c r="L57" s="20" t="s">
        <v>145</v>
      </c>
      <c r="M57" s="22">
        <v>10</v>
      </c>
      <c r="N57" s="22">
        <v>24</v>
      </c>
      <c r="O57" s="22">
        <v>10</v>
      </c>
      <c r="P57" s="22">
        <v>24</v>
      </c>
      <c r="Q57" s="25" t="s">
        <v>381</v>
      </c>
      <c r="R57" s="20" t="s">
        <v>147</v>
      </c>
      <c r="S57" s="20" t="s">
        <v>148</v>
      </c>
      <c r="T57" s="20" t="s">
        <v>382</v>
      </c>
      <c r="U57" s="20"/>
    </row>
    <row r="58" ht="139.2" spans="1:21">
      <c r="A58" s="20">
        <f t="shared" si="7"/>
        <v>53</v>
      </c>
      <c r="B58" s="20" t="s">
        <v>13</v>
      </c>
      <c r="C58" s="20" t="s">
        <v>15</v>
      </c>
      <c r="D58" s="20" t="s">
        <v>17</v>
      </c>
      <c r="E58" s="20" t="s">
        <v>383</v>
      </c>
      <c r="F58" s="21" t="s">
        <v>384</v>
      </c>
      <c r="G58" s="20" t="s">
        <v>220</v>
      </c>
      <c r="H58" s="20" t="s">
        <v>385</v>
      </c>
      <c r="I58" s="23">
        <f t="shared" si="2"/>
        <v>60</v>
      </c>
      <c r="J58" s="23">
        <v>60</v>
      </c>
      <c r="K58" s="20"/>
      <c r="L58" s="20" t="s">
        <v>145</v>
      </c>
      <c r="M58" s="20">
        <v>4042</v>
      </c>
      <c r="N58" s="20">
        <v>9970</v>
      </c>
      <c r="O58" s="20">
        <v>110</v>
      </c>
      <c r="P58" s="20">
        <v>156</v>
      </c>
      <c r="Q58" s="21" t="s">
        <v>386</v>
      </c>
      <c r="R58" s="20" t="s">
        <v>223</v>
      </c>
      <c r="S58" s="20" t="s">
        <v>148</v>
      </c>
      <c r="T58" s="20" t="s">
        <v>387</v>
      </c>
      <c r="U58" s="20"/>
    </row>
    <row r="59" ht="117" customHeight="1" spans="1:21">
      <c r="A59" s="20">
        <f t="shared" si="7"/>
        <v>54</v>
      </c>
      <c r="B59" s="20" t="s">
        <v>13</v>
      </c>
      <c r="C59" s="20" t="s">
        <v>15</v>
      </c>
      <c r="D59" s="20" t="s">
        <v>17</v>
      </c>
      <c r="E59" s="20" t="s">
        <v>388</v>
      </c>
      <c r="F59" s="21" t="s">
        <v>389</v>
      </c>
      <c r="G59" s="20" t="s">
        <v>279</v>
      </c>
      <c r="H59" s="20" t="s">
        <v>390</v>
      </c>
      <c r="I59" s="23">
        <f t="shared" si="2"/>
        <v>12</v>
      </c>
      <c r="J59" s="23">
        <v>12</v>
      </c>
      <c r="K59" s="20"/>
      <c r="L59" s="20" t="s">
        <v>145</v>
      </c>
      <c r="M59" s="20">
        <v>563</v>
      </c>
      <c r="N59" s="20">
        <v>1291</v>
      </c>
      <c r="O59" s="20">
        <v>7</v>
      </c>
      <c r="P59" s="20">
        <v>10</v>
      </c>
      <c r="Q59" s="21" t="s">
        <v>391</v>
      </c>
      <c r="R59" s="20" t="s">
        <v>282</v>
      </c>
      <c r="S59" s="20" t="s">
        <v>148</v>
      </c>
      <c r="T59" s="20" t="s">
        <v>392</v>
      </c>
      <c r="U59" s="20"/>
    </row>
    <row r="60" ht="241.75" customHeight="1" spans="1:21">
      <c r="A60" s="20">
        <f t="shared" si="7"/>
        <v>55</v>
      </c>
      <c r="B60" s="20" t="s">
        <v>13</v>
      </c>
      <c r="C60" s="20" t="s">
        <v>15</v>
      </c>
      <c r="D60" s="20" t="s">
        <v>17</v>
      </c>
      <c r="E60" s="20" t="s">
        <v>393</v>
      </c>
      <c r="F60" s="21" t="s">
        <v>394</v>
      </c>
      <c r="G60" s="20" t="s">
        <v>178</v>
      </c>
      <c r="H60" s="22" t="s">
        <v>254</v>
      </c>
      <c r="I60" s="23">
        <f t="shared" si="2"/>
        <v>200</v>
      </c>
      <c r="J60" s="30">
        <v>200</v>
      </c>
      <c r="K60" s="28"/>
      <c r="L60" s="20" t="s">
        <v>145</v>
      </c>
      <c r="M60" s="20">
        <v>34</v>
      </c>
      <c r="N60" s="20">
        <v>101</v>
      </c>
      <c r="O60" s="28">
        <v>7</v>
      </c>
      <c r="P60" s="28">
        <v>17</v>
      </c>
      <c r="Q60" s="21" t="s">
        <v>395</v>
      </c>
      <c r="R60" s="20" t="s">
        <v>181</v>
      </c>
      <c r="S60" s="20" t="s">
        <v>148</v>
      </c>
      <c r="T60" s="20" t="s">
        <v>396</v>
      </c>
      <c r="U60" s="20"/>
    </row>
    <row r="61" ht="116" customHeight="1" spans="1:21">
      <c r="A61" s="20">
        <f t="shared" si="7"/>
        <v>56</v>
      </c>
      <c r="B61" s="20" t="s">
        <v>13</v>
      </c>
      <c r="C61" s="20" t="s">
        <v>15</v>
      </c>
      <c r="D61" s="20" t="s">
        <v>17</v>
      </c>
      <c r="E61" s="20" t="s">
        <v>397</v>
      </c>
      <c r="F61" s="21" t="s">
        <v>398</v>
      </c>
      <c r="G61" s="20" t="s">
        <v>178</v>
      </c>
      <c r="H61" s="20" t="s">
        <v>399</v>
      </c>
      <c r="I61" s="23">
        <f t="shared" si="2"/>
        <v>10</v>
      </c>
      <c r="J61" s="23">
        <v>6</v>
      </c>
      <c r="K61" s="20">
        <v>4</v>
      </c>
      <c r="L61" s="20" t="s">
        <v>145</v>
      </c>
      <c r="M61" s="20">
        <v>533</v>
      </c>
      <c r="N61" s="20">
        <v>1478</v>
      </c>
      <c r="O61" s="20">
        <v>40</v>
      </c>
      <c r="P61" s="20">
        <v>82</v>
      </c>
      <c r="Q61" s="21" t="s">
        <v>400</v>
      </c>
      <c r="R61" s="20" t="s">
        <v>181</v>
      </c>
      <c r="S61" s="20" t="s">
        <v>148</v>
      </c>
      <c r="T61" s="20" t="s">
        <v>396</v>
      </c>
      <c r="U61" s="20"/>
    </row>
    <row r="62" ht="146" customHeight="1" spans="1:21">
      <c r="A62" s="20">
        <f t="shared" si="7"/>
        <v>57</v>
      </c>
      <c r="B62" s="20" t="s">
        <v>13</v>
      </c>
      <c r="C62" s="20" t="s">
        <v>15</v>
      </c>
      <c r="D62" s="20" t="s">
        <v>17</v>
      </c>
      <c r="E62" s="20" t="s">
        <v>401</v>
      </c>
      <c r="F62" s="21" t="s">
        <v>402</v>
      </c>
      <c r="G62" s="20" t="s">
        <v>178</v>
      </c>
      <c r="H62" s="20" t="s">
        <v>294</v>
      </c>
      <c r="I62" s="23">
        <f t="shared" si="2"/>
        <v>166</v>
      </c>
      <c r="J62" s="23">
        <v>166</v>
      </c>
      <c r="K62" s="20"/>
      <c r="L62" s="20" t="s">
        <v>145</v>
      </c>
      <c r="M62" s="20">
        <v>68</v>
      </c>
      <c r="N62" s="20">
        <v>187</v>
      </c>
      <c r="O62" s="20">
        <v>3</v>
      </c>
      <c r="P62" s="20">
        <v>7</v>
      </c>
      <c r="Q62" s="21" t="s">
        <v>403</v>
      </c>
      <c r="R62" s="20" t="s">
        <v>181</v>
      </c>
      <c r="S62" s="20" t="s">
        <v>148</v>
      </c>
      <c r="T62" s="20" t="s">
        <v>396</v>
      </c>
      <c r="U62" s="20"/>
    </row>
    <row r="63" ht="213" customHeight="1" spans="1:21">
      <c r="A63" s="20">
        <f t="shared" si="7"/>
        <v>58</v>
      </c>
      <c r="B63" s="20" t="s">
        <v>13</v>
      </c>
      <c r="C63" s="20" t="s">
        <v>15</v>
      </c>
      <c r="D63" s="20" t="s">
        <v>17</v>
      </c>
      <c r="E63" s="20" t="s">
        <v>404</v>
      </c>
      <c r="F63" s="21" t="s">
        <v>405</v>
      </c>
      <c r="G63" s="20" t="s">
        <v>178</v>
      </c>
      <c r="H63" s="20" t="s">
        <v>294</v>
      </c>
      <c r="I63" s="23">
        <f t="shared" si="2"/>
        <v>216</v>
      </c>
      <c r="J63" s="23">
        <v>216</v>
      </c>
      <c r="K63" s="20"/>
      <c r="L63" s="20" t="s">
        <v>145</v>
      </c>
      <c r="M63" s="20">
        <v>87</v>
      </c>
      <c r="N63" s="20">
        <v>240</v>
      </c>
      <c r="O63" s="20">
        <v>3</v>
      </c>
      <c r="P63" s="20">
        <v>4</v>
      </c>
      <c r="Q63" s="21" t="s">
        <v>406</v>
      </c>
      <c r="R63" s="20" t="s">
        <v>181</v>
      </c>
      <c r="S63" s="20" t="s">
        <v>148</v>
      </c>
      <c r="T63" s="20" t="s">
        <v>396</v>
      </c>
      <c r="U63" s="20"/>
    </row>
    <row r="64" ht="201" customHeight="1" spans="1:21">
      <c r="A64" s="20">
        <f t="shared" si="7"/>
        <v>59</v>
      </c>
      <c r="B64" s="20" t="s">
        <v>13</v>
      </c>
      <c r="C64" s="20" t="s">
        <v>15</v>
      </c>
      <c r="D64" s="20" t="s">
        <v>17</v>
      </c>
      <c r="E64" s="20" t="s">
        <v>407</v>
      </c>
      <c r="F64" s="21" t="s">
        <v>408</v>
      </c>
      <c r="G64" s="20" t="s">
        <v>178</v>
      </c>
      <c r="H64" s="20" t="s">
        <v>294</v>
      </c>
      <c r="I64" s="23">
        <f t="shared" si="2"/>
        <v>190</v>
      </c>
      <c r="J64" s="23">
        <v>190</v>
      </c>
      <c r="K64" s="20"/>
      <c r="L64" s="20" t="s">
        <v>145</v>
      </c>
      <c r="M64" s="20">
        <v>34</v>
      </c>
      <c r="N64" s="20">
        <v>94</v>
      </c>
      <c r="O64" s="20">
        <v>2</v>
      </c>
      <c r="P64" s="20">
        <v>3</v>
      </c>
      <c r="Q64" s="21" t="s">
        <v>409</v>
      </c>
      <c r="R64" s="20" t="s">
        <v>181</v>
      </c>
      <c r="S64" s="20" t="s">
        <v>148</v>
      </c>
      <c r="T64" s="20" t="s">
        <v>396</v>
      </c>
      <c r="U64" s="20"/>
    </row>
    <row r="65" ht="219" customHeight="1" spans="1:21">
      <c r="A65" s="20">
        <f t="shared" si="7"/>
        <v>60</v>
      </c>
      <c r="B65" s="20" t="s">
        <v>13</v>
      </c>
      <c r="C65" s="20" t="s">
        <v>15</v>
      </c>
      <c r="D65" s="20" t="s">
        <v>17</v>
      </c>
      <c r="E65" s="20" t="s">
        <v>410</v>
      </c>
      <c r="F65" s="21" t="s">
        <v>411</v>
      </c>
      <c r="G65" s="20" t="s">
        <v>178</v>
      </c>
      <c r="H65" s="20" t="s">
        <v>254</v>
      </c>
      <c r="I65" s="23">
        <f t="shared" si="2"/>
        <v>295</v>
      </c>
      <c r="J65" s="29">
        <v>295</v>
      </c>
      <c r="K65" s="20"/>
      <c r="L65" s="20" t="s">
        <v>145</v>
      </c>
      <c r="M65" s="20">
        <v>518</v>
      </c>
      <c r="N65" s="20">
        <v>1355</v>
      </c>
      <c r="O65" s="20">
        <v>55</v>
      </c>
      <c r="P65" s="20">
        <v>113</v>
      </c>
      <c r="Q65" s="21" t="s">
        <v>412</v>
      </c>
      <c r="R65" s="20" t="s">
        <v>181</v>
      </c>
      <c r="S65" s="20" t="s">
        <v>148</v>
      </c>
      <c r="T65" s="20" t="s">
        <v>396</v>
      </c>
      <c r="U65" s="20"/>
    </row>
    <row r="66" ht="97" customHeight="1" spans="1:21">
      <c r="A66" s="20">
        <f t="shared" si="7"/>
        <v>61</v>
      </c>
      <c r="B66" s="20" t="s">
        <v>13</v>
      </c>
      <c r="C66" s="20" t="s">
        <v>15</v>
      </c>
      <c r="D66" s="20" t="s">
        <v>17</v>
      </c>
      <c r="E66" s="22" t="s">
        <v>413</v>
      </c>
      <c r="F66" s="21" t="s">
        <v>414</v>
      </c>
      <c r="G66" s="22" t="s">
        <v>272</v>
      </c>
      <c r="H66" s="22" t="s">
        <v>363</v>
      </c>
      <c r="I66" s="23">
        <f t="shared" si="2"/>
        <v>45.6</v>
      </c>
      <c r="J66" s="30">
        <v>45.6</v>
      </c>
      <c r="K66" s="22">
        <v>0</v>
      </c>
      <c r="L66" s="22" t="s">
        <v>145</v>
      </c>
      <c r="M66" s="22">
        <v>425</v>
      </c>
      <c r="N66" s="22">
        <v>1085</v>
      </c>
      <c r="O66" s="22">
        <v>14</v>
      </c>
      <c r="P66" s="22">
        <v>34</v>
      </c>
      <c r="Q66" s="25" t="s">
        <v>415</v>
      </c>
      <c r="R66" s="20" t="s">
        <v>275</v>
      </c>
      <c r="S66" s="20" t="s">
        <v>148</v>
      </c>
      <c r="T66" s="20" t="s">
        <v>276</v>
      </c>
      <c r="U66" s="20"/>
    </row>
    <row r="67" ht="87" spans="1:21">
      <c r="A67" s="20">
        <f t="shared" ref="A67:A76" si="8">ROW()-5</f>
        <v>62</v>
      </c>
      <c r="B67" s="20" t="s">
        <v>13</v>
      </c>
      <c r="C67" s="20" t="s">
        <v>15</v>
      </c>
      <c r="D67" s="20" t="s">
        <v>17</v>
      </c>
      <c r="E67" s="20" t="s">
        <v>416</v>
      </c>
      <c r="F67" s="21" t="s">
        <v>417</v>
      </c>
      <c r="G67" s="20" t="s">
        <v>152</v>
      </c>
      <c r="H67" s="20" t="s">
        <v>318</v>
      </c>
      <c r="I67" s="23">
        <f t="shared" si="2"/>
        <v>100</v>
      </c>
      <c r="J67" s="23">
        <v>100</v>
      </c>
      <c r="K67" s="20"/>
      <c r="L67" s="20" t="s">
        <v>145</v>
      </c>
      <c r="M67" s="20">
        <v>88</v>
      </c>
      <c r="N67" s="20">
        <v>285</v>
      </c>
      <c r="O67" s="20">
        <v>2</v>
      </c>
      <c r="P67" s="20">
        <v>2</v>
      </c>
      <c r="Q67" s="21" t="s">
        <v>418</v>
      </c>
      <c r="R67" s="20" t="s">
        <v>155</v>
      </c>
      <c r="S67" s="20" t="s">
        <v>148</v>
      </c>
      <c r="T67" s="20" t="s">
        <v>320</v>
      </c>
      <c r="U67" s="20"/>
    </row>
    <row r="68" ht="78" customHeight="1" spans="1:21">
      <c r="A68" s="20">
        <f t="shared" si="8"/>
        <v>63</v>
      </c>
      <c r="B68" s="20" t="s">
        <v>13</v>
      </c>
      <c r="C68" s="20" t="s">
        <v>15</v>
      </c>
      <c r="D68" s="20" t="s">
        <v>17</v>
      </c>
      <c r="E68" s="20" t="s">
        <v>419</v>
      </c>
      <c r="F68" s="21" t="s">
        <v>420</v>
      </c>
      <c r="G68" s="20" t="s">
        <v>185</v>
      </c>
      <c r="H68" s="20" t="s">
        <v>421</v>
      </c>
      <c r="I68" s="23">
        <f t="shared" si="2"/>
        <v>8.5</v>
      </c>
      <c r="J68" s="29">
        <v>8.5</v>
      </c>
      <c r="K68" s="28"/>
      <c r="L68" s="20" t="s">
        <v>145</v>
      </c>
      <c r="M68" s="28">
        <v>403</v>
      </c>
      <c r="N68" s="28">
        <v>1039</v>
      </c>
      <c r="O68" s="28">
        <v>13</v>
      </c>
      <c r="P68" s="28">
        <v>26</v>
      </c>
      <c r="Q68" s="21" t="s">
        <v>422</v>
      </c>
      <c r="R68" s="20" t="s">
        <v>188</v>
      </c>
      <c r="S68" s="20" t="s">
        <v>148</v>
      </c>
      <c r="T68" s="20" t="s">
        <v>189</v>
      </c>
      <c r="U68" s="20"/>
    </row>
    <row r="69" s="2" customFormat="1" ht="87" spans="1:21">
      <c r="A69" s="20">
        <f t="shared" si="8"/>
        <v>64</v>
      </c>
      <c r="B69" s="20" t="s">
        <v>13</v>
      </c>
      <c r="C69" s="20" t="s">
        <v>15</v>
      </c>
      <c r="D69" s="22" t="s">
        <v>17</v>
      </c>
      <c r="E69" s="20" t="s">
        <v>423</v>
      </c>
      <c r="F69" s="21" t="s">
        <v>424</v>
      </c>
      <c r="G69" s="22" t="s">
        <v>178</v>
      </c>
      <c r="H69" s="20" t="s">
        <v>425</v>
      </c>
      <c r="I69" s="23">
        <f t="shared" si="2"/>
        <v>6.92</v>
      </c>
      <c r="J69" s="23">
        <v>6.92</v>
      </c>
      <c r="K69" s="20"/>
      <c r="L69" s="20" t="s">
        <v>145</v>
      </c>
      <c r="M69" s="20">
        <v>16</v>
      </c>
      <c r="N69" s="20">
        <v>36</v>
      </c>
      <c r="O69" s="20">
        <v>16</v>
      </c>
      <c r="P69" s="20">
        <v>36</v>
      </c>
      <c r="Q69" s="21" t="s">
        <v>426</v>
      </c>
      <c r="R69" s="20" t="s">
        <v>181</v>
      </c>
      <c r="S69" s="20" t="s">
        <v>148</v>
      </c>
      <c r="T69" s="20" t="s">
        <v>427</v>
      </c>
      <c r="U69" s="20"/>
    </row>
    <row r="70" ht="87" spans="1:21">
      <c r="A70" s="20">
        <f t="shared" si="8"/>
        <v>65</v>
      </c>
      <c r="B70" s="20" t="s">
        <v>13</v>
      </c>
      <c r="C70" s="20" t="s">
        <v>15</v>
      </c>
      <c r="D70" s="20" t="s">
        <v>17</v>
      </c>
      <c r="E70" s="20" t="s">
        <v>428</v>
      </c>
      <c r="F70" s="21" t="s">
        <v>429</v>
      </c>
      <c r="G70" s="20" t="s">
        <v>178</v>
      </c>
      <c r="H70" s="20" t="s">
        <v>259</v>
      </c>
      <c r="I70" s="23">
        <f t="shared" si="2"/>
        <v>23.2</v>
      </c>
      <c r="J70" s="23">
        <v>23.2</v>
      </c>
      <c r="K70" s="28"/>
      <c r="L70" s="20" t="s">
        <v>145</v>
      </c>
      <c r="M70" s="20">
        <v>3842</v>
      </c>
      <c r="N70" s="20">
        <v>10430</v>
      </c>
      <c r="O70" s="20">
        <v>288</v>
      </c>
      <c r="P70" s="20">
        <v>622</v>
      </c>
      <c r="Q70" s="21" t="s">
        <v>430</v>
      </c>
      <c r="R70" s="20" t="s">
        <v>181</v>
      </c>
      <c r="S70" s="20" t="s">
        <v>148</v>
      </c>
      <c r="T70" s="20" t="s">
        <v>396</v>
      </c>
      <c r="U70" s="20"/>
    </row>
    <row r="71" ht="230" customHeight="1" spans="1:21">
      <c r="A71" s="20">
        <f t="shared" si="8"/>
        <v>66</v>
      </c>
      <c r="B71" s="20" t="s">
        <v>13</v>
      </c>
      <c r="C71" s="20" t="s">
        <v>15</v>
      </c>
      <c r="D71" s="20" t="s">
        <v>17</v>
      </c>
      <c r="E71" s="20" t="s">
        <v>431</v>
      </c>
      <c r="F71" s="21" t="s">
        <v>432</v>
      </c>
      <c r="G71" s="20" t="s">
        <v>178</v>
      </c>
      <c r="H71" s="20" t="s">
        <v>433</v>
      </c>
      <c r="I71" s="23">
        <f t="shared" ref="I71:I134" si="9">J71+K71</f>
        <v>148.21</v>
      </c>
      <c r="J71" s="29">
        <v>148.21</v>
      </c>
      <c r="K71" s="28"/>
      <c r="L71" s="28" t="s">
        <v>145</v>
      </c>
      <c r="M71" s="20">
        <v>547</v>
      </c>
      <c r="N71" s="20">
        <v>1489</v>
      </c>
      <c r="O71" s="20">
        <v>48</v>
      </c>
      <c r="P71" s="20">
        <v>109</v>
      </c>
      <c r="Q71" s="21" t="s">
        <v>434</v>
      </c>
      <c r="R71" s="20" t="s">
        <v>181</v>
      </c>
      <c r="S71" s="20" t="s">
        <v>148</v>
      </c>
      <c r="T71" s="20" t="s">
        <v>396</v>
      </c>
      <c r="U71" s="20"/>
    </row>
    <row r="72" ht="166" customHeight="1" spans="1:21">
      <c r="A72" s="20">
        <f t="shared" si="8"/>
        <v>67</v>
      </c>
      <c r="B72" s="20" t="s">
        <v>13</v>
      </c>
      <c r="C72" s="20" t="s">
        <v>15</v>
      </c>
      <c r="D72" s="20" t="s">
        <v>17</v>
      </c>
      <c r="E72" s="20" t="s">
        <v>435</v>
      </c>
      <c r="F72" s="21" t="s">
        <v>436</v>
      </c>
      <c r="G72" s="20" t="s">
        <v>178</v>
      </c>
      <c r="H72" s="20" t="s">
        <v>437</v>
      </c>
      <c r="I72" s="23">
        <f t="shared" si="9"/>
        <v>248</v>
      </c>
      <c r="J72" s="23">
        <v>248</v>
      </c>
      <c r="K72" s="20"/>
      <c r="L72" s="20" t="s">
        <v>145</v>
      </c>
      <c r="M72" s="20">
        <v>82</v>
      </c>
      <c r="N72" s="20">
        <v>288</v>
      </c>
      <c r="O72" s="20">
        <v>4</v>
      </c>
      <c r="P72" s="20">
        <v>10</v>
      </c>
      <c r="Q72" s="21" t="s">
        <v>438</v>
      </c>
      <c r="R72" s="20" t="s">
        <v>181</v>
      </c>
      <c r="S72" s="20" t="s">
        <v>148</v>
      </c>
      <c r="T72" s="20" t="s">
        <v>396</v>
      </c>
      <c r="U72" s="20"/>
    </row>
    <row r="73" ht="122" customHeight="1" spans="1:21">
      <c r="A73" s="20">
        <f t="shared" si="8"/>
        <v>68</v>
      </c>
      <c r="B73" s="20" t="s">
        <v>13</v>
      </c>
      <c r="C73" s="20" t="s">
        <v>15</v>
      </c>
      <c r="D73" s="20" t="s">
        <v>17</v>
      </c>
      <c r="E73" s="20" t="s">
        <v>439</v>
      </c>
      <c r="F73" s="21" t="s">
        <v>440</v>
      </c>
      <c r="G73" s="20" t="s">
        <v>178</v>
      </c>
      <c r="H73" s="20" t="s">
        <v>437</v>
      </c>
      <c r="I73" s="23">
        <f t="shared" si="9"/>
        <v>14</v>
      </c>
      <c r="J73" s="23">
        <v>8.4</v>
      </c>
      <c r="K73" s="20">
        <v>5.6</v>
      </c>
      <c r="L73" s="20" t="s">
        <v>145</v>
      </c>
      <c r="M73" s="20">
        <v>396</v>
      </c>
      <c r="N73" s="20">
        <v>1046</v>
      </c>
      <c r="O73" s="20">
        <v>31</v>
      </c>
      <c r="P73" s="22">
        <v>80</v>
      </c>
      <c r="Q73" s="21" t="s">
        <v>441</v>
      </c>
      <c r="R73" s="20" t="s">
        <v>181</v>
      </c>
      <c r="S73" s="20" t="s">
        <v>148</v>
      </c>
      <c r="T73" s="20" t="s">
        <v>396</v>
      </c>
      <c r="U73" s="20"/>
    </row>
    <row r="74" ht="125" customHeight="1" spans="1:21">
      <c r="A74" s="20">
        <f t="shared" si="8"/>
        <v>69</v>
      </c>
      <c r="B74" s="20" t="s">
        <v>13</v>
      </c>
      <c r="C74" s="20" t="s">
        <v>15</v>
      </c>
      <c r="D74" s="20" t="s">
        <v>17</v>
      </c>
      <c r="E74" s="20" t="s">
        <v>442</v>
      </c>
      <c r="F74" s="21" t="s">
        <v>443</v>
      </c>
      <c r="G74" s="20" t="s">
        <v>272</v>
      </c>
      <c r="H74" s="20" t="s">
        <v>444</v>
      </c>
      <c r="I74" s="23">
        <f t="shared" si="9"/>
        <v>20.52</v>
      </c>
      <c r="J74" s="23">
        <v>20.52</v>
      </c>
      <c r="K74" s="20">
        <v>0</v>
      </c>
      <c r="L74" s="20" t="s">
        <v>145</v>
      </c>
      <c r="M74" s="20">
        <v>596</v>
      </c>
      <c r="N74" s="20">
        <v>1495</v>
      </c>
      <c r="O74" s="20">
        <v>32</v>
      </c>
      <c r="P74" s="20">
        <v>61</v>
      </c>
      <c r="Q74" s="21" t="s">
        <v>445</v>
      </c>
      <c r="R74" s="20" t="s">
        <v>275</v>
      </c>
      <c r="S74" s="20" t="s">
        <v>148</v>
      </c>
      <c r="T74" s="20" t="s">
        <v>276</v>
      </c>
      <c r="U74" s="20"/>
    </row>
    <row r="75" ht="98" customHeight="1" spans="1:21">
      <c r="A75" s="20">
        <f t="shared" si="8"/>
        <v>70</v>
      </c>
      <c r="B75" s="28" t="s">
        <v>13</v>
      </c>
      <c r="C75" s="28" t="s">
        <v>15</v>
      </c>
      <c r="D75" s="20" t="s">
        <v>17</v>
      </c>
      <c r="E75" s="20" t="s">
        <v>446</v>
      </c>
      <c r="F75" s="21" t="s">
        <v>447</v>
      </c>
      <c r="G75" s="20" t="s">
        <v>448</v>
      </c>
      <c r="H75" s="20" t="s">
        <v>249</v>
      </c>
      <c r="I75" s="23">
        <f t="shared" si="9"/>
        <v>246.61</v>
      </c>
      <c r="J75" s="29">
        <v>246.61</v>
      </c>
      <c r="K75" s="28"/>
      <c r="L75" s="28" t="s">
        <v>145</v>
      </c>
      <c r="M75" s="28">
        <v>245</v>
      </c>
      <c r="N75" s="28">
        <v>650</v>
      </c>
      <c r="O75" s="28">
        <v>245</v>
      </c>
      <c r="P75" s="28">
        <v>650</v>
      </c>
      <c r="Q75" s="21" t="s">
        <v>449</v>
      </c>
      <c r="R75" s="20" t="s">
        <v>450</v>
      </c>
      <c r="S75" s="20" t="s">
        <v>148</v>
      </c>
      <c r="T75" s="20" t="s">
        <v>451</v>
      </c>
      <c r="U75" s="20"/>
    </row>
    <row r="76" ht="104.4" spans="1:21">
      <c r="A76" s="20">
        <f t="shared" si="8"/>
        <v>71</v>
      </c>
      <c r="B76" s="20" t="s">
        <v>13</v>
      </c>
      <c r="C76" s="20" t="s">
        <v>15</v>
      </c>
      <c r="D76" s="20" t="s">
        <v>17</v>
      </c>
      <c r="E76" s="20" t="s">
        <v>452</v>
      </c>
      <c r="F76" s="21" t="s">
        <v>453</v>
      </c>
      <c r="G76" s="20" t="s">
        <v>272</v>
      </c>
      <c r="H76" s="20" t="s">
        <v>454</v>
      </c>
      <c r="I76" s="23">
        <f t="shared" si="9"/>
        <v>145</v>
      </c>
      <c r="J76" s="23">
        <v>145</v>
      </c>
      <c r="K76" s="20"/>
      <c r="L76" s="20" t="s">
        <v>145</v>
      </c>
      <c r="M76" s="20">
        <v>302</v>
      </c>
      <c r="N76" s="20">
        <v>802</v>
      </c>
      <c r="O76" s="20">
        <v>17</v>
      </c>
      <c r="P76" s="20">
        <v>29</v>
      </c>
      <c r="Q76" s="21" t="s">
        <v>455</v>
      </c>
      <c r="R76" s="20" t="s">
        <v>275</v>
      </c>
      <c r="S76" s="20" t="s">
        <v>148</v>
      </c>
      <c r="T76" s="20" t="s">
        <v>276</v>
      </c>
      <c r="U76" s="20"/>
    </row>
    <row r="77" ht="87" spans="1:21">
      <c r="A77" s="20">
        <f t="shared" ref="A77:A86" si="10">ROW()-5</f>
        <v>72</v>
      </c>
      <c r="B77" s="20" t="s">
        <v>13</v>
      </c>
      <c r="C77" s="20" t="s">
        <v>15</v>
      </c>
      <c r="D77" s="20" t="s">
        <v>17</v>
      </c>
      <c r="E77" s="20" t="s">
        <v>456</v>
      </c>
      <c r="F77" s="21" t="s">
        <v>457</v>
      </c>
      <c r="G77" s="20" t="s">
        <v>185</v>
      </c>
      <c r="H77" s="20" t="s">
        <v>458</v>
      </c>
      <c r="I77" s="23">
        <f t="shared" si="9"/>
        <v>75</v>
      </c>
      <c r="J77" s="23">
        <v>75</v>
      </c>
      <c r="K77" s="20"/>
      <c r="L77" s="20" t="s">
        <v>145</v>
      </c>
      <c r="M77" s="20">
        <v>48</v>
      </c>
      <c r="N77" s="20">
        <v>172</v>
      </c>
      <c r="O77" s="20">
        <v>0</v>
      </c>
      <c r="P77" s="20">
        <v>0</v>
      </c>
      <c r="Q77" s="21" t="s">
        <v>459</v>
      </c>
      <c r="R77" s="20" t="s">
        <v>188</v>
      </c>
      <c r="S77" s="20" t="s">
        <v>148</v>
      </c>
      <c r="T77" s="20" t="s">
        <v>189</v>
      </c>
      <c r="U77" s="20"/>
    </row>
    <row r="78" ht="139" customHeight="1" spans="1:21">
      <c r="A78" s="20">
        <f t="shared" si="10"/>
        <v>73</v>
      </c>
      <c r="B78" s="20" t="s">
        <v>13</v>
      </c>
      <c r="C78" s="20" t="s">
        <v>15</v>
      </c>
      <c r="D78" s="20" t="s">
        <v>17</v>
      </c>
      <c r="E78" s="20" t="s">
        <v>460</v>
      </c>
      <c r="F78" s="21" t="s">
        <v>461</v>
      </c>
      <c r="G78" s="20" t="s">
        <v>178</v>
      </c>
      <c r="H78" s="20" t="s">
        <v>259</v>
      </c>
      <c r="I78" s="23">
        <f t="shared" si="9"/>
        <v>24</v>
      </c>
      <c r="J78" s="23">
        <v>14.4</v>
      </c>
      <c r="K78" s="20">
        <v>9.6</v>
      </c>
      <c r="L78" s="20" t="s">
        <v>145</v>
      </c>
      <c r="M78" s="20">
        <v>334</v>
      </c>
      <c r="N78" s="20">
        <v>960</v>
      </c>
      <c r="O78" s="20">
        <v>27</v>
      </c>
      <c r="P78" s="20">
        <v>63</v>
      </c>
      <c r="Q78" s="21" t="s">
        <v>462</v>
      </c>
      <c r="R78" s="20" t="s">
        <v>181</v>
      </c>
      <c r="S78" s="20" t="s">
        <v>148</v>
      </c>
      <c r="T78" s="20" t="s">
        <v>396</v>
      </c>
      <c r="U78" s="20"/>
    </row>
    <row r="79" ht="139" customHeight="1" spans="1:21">
      <c r="A79" s="20">
        <f t="shared" si="10"/>
        <v>74</v>
      </c>
      <c r="B79" s="20" t="s">
        <v>13</v>
      </c>
      <c r="C79" s="20" t="s">
        <v>15</v>
      </c>
      <c r="D79" s="20" t="s">
        <v>17</v>
      </c>
      <c r="E79" s="20" t="s">
        <v>463</v>
      </c>
      <c r="F79" s="21" t="s">
        <v>464</v>
      </c>
      <c r="G79" s="20" t="s">
        <v>178</v>
      </c>
      <c r="H79" s="20" t="s">
        <v>254</v>
      </c>
      <c r="I79" s="23">
        <f t="shared" si="9"/>
        <v>31</v>
      </c>
      <c r="J79" s="29">
        <v>18.6</v>
      </c>
      <c r="K79" s="28">
        <v>12.4</v>
      </c>
      <c r="L79" s="20" t="s">
        <v>145</v>
      </c>
      <c r="M79" s="28">
        <v>517</v>
      </c>
      <c r="N79" s="28">
        <v>1385</v>
      </c>
      <c r="O79" s="28">
        <v>56</v>
      </c>
      <c r="P79" s="28">
        <v>116</v>
      </c>
      <c r="Q79" s="21" t="s">
        <v>465</v>
      </c>
      <c r="R79" s="20" t="s">
        <v>181</v>
      </c>
      <c r="S79" s="20" t="s">
        <v>148</v>
      </c>
      <c r="T79" s="20" t="s">
        <v>396</v>
      </c>
      <c r="U79" s="20"/>
    </row>
    <row r="80" ht="156.6" spans="1:21">
      <c r="A80" s="20">
        <f t="shared" si="10"/>
        <v>75</v>
      </c>
      <c r="B80" s="21" t="s">
        <v>13</v>
      </c>
      <c r="C80" s="20" t="s">
        <v>15</v>
      </c>
      <c r="D80" s="20" t="s">
        <v>17</v>
      </c>
      <c r="E80" s="20" t="s">
        <v>466</v>
      </c>
      <c r="F80" s="21" t="s">
        <v>467</v>
      </c>
      <c r="G80" s="20" t="s">
        <v>370</v>
      </c>
      <c r="H80" s="20" t="s">
        <v>371</v>
      </c>
      <c r="I80" s="23">
        <f t="shared" si="9"/>
        <v>5</v>
      </c>
      <c r="J80" s="23">
        <v>5</v>
      </c>
      <c r="K80" s="21"/>
      <c r="L80" s="21" t="s">
        <v>145</v>
      </c>
      <c r="M80" s="20">
        <v>617</v>
      </c>
      <c r="N80" s="20">
        <v>1498</v>
      </c>
      <c r="O80" s="20">
        <v>52</v>
      </c>
      <c r="P80" s="20">
        <v>85</v>
      </c>
      <c r="Q80" s="21" t="s">
        <v>468</v>
      </c>
      <c r="R80" s="21" t="s">
        <v>373</v>
      </c>
      <c r="S80" s="21" t="s">
        <v>148</v>
      </c>
      <c r="T80" s="21" t="s">
        <v>451</v>
      </c>
      <c r="U80" s="20"/>
    </row>
    <row r="81" ht="104.4" spans="1:21">
      <c r="A81" s="20">
        <f t="shared" si="10"/>
        <v>76</v>
      </c>
      <c r="B81" s="20" t="s">
        <v>13</v>
      </c>
      <c r="C81" s="20" t="s">
        <v>15</v>
      </c>
      <c r="D81" s="20" t="s">
        <v>17</v>
      </c>
      <c r="E81" s="20" t="s">
        <v>469</v>
      </c>
      <c r="F81" s="21" t="s">
        <v>470</v>
      </c>
      <c r="G81" s="20" t="s">
        <v>370</v>
      </c>
      <c r="H81" s="20" t="s">
        <v>471</v>
      </c>
      <c r="I81" s="23">
        <f t="shared" si="9"/>
        <v>2</v>
      </c>
      <c r="J81" s="23">
        <v>2</v>
      </c>
      <c r="K81" s="20"/>
      <c r="L81" s="20" t="s">
        <v>145</v>
      </c>
      <c r="M81" s="20">
        <v>351</v>
      </c>
      <c r="N81" s="20">
        <v>873</v>
      </c>
      <c r="O81" s="20">
        <v>13</v>
      </c>
      <c r="P81" s="20">
        <v>25</v>
      </c>
      <c r="Q81" s="21" t="s">
        <v>472</v>
      </c>
      <c r="R81" s="20" t="s">
        <v>373</v>
      </c>
      <c r="S81" s="20" t="s">
        <v>148</v>
      </c>
      <c r="T81" s="20" t="s">
        <v>451</v>
      </c>
      <c r="U81" s="20"/>
    </row>
    <row r="82" ht="121.8" spans="1:21">
      <c r="A82" s="20">
        <f t="shared" si="10"/>
        <v>77</v>
      </c>
      <c r="B82" s="20" t="s">
        <v>13</v>
      </c>
      <c r="C82" s="20" t="s">
        <v>15</v>
      </c>
      <c r="D82" s="20" t="s">
        <v>17</v>
      </c>
      <c r="E82" s="20" t="s">
        <v>473</v>
      </c>
      <c r="F82" s="21" t="s">
        <v>474</v>
      </c>
      <c r="G82" s="20" t="s">
        <v>370</v>
      </c>
      <c r="H82" s="20" t="s">
        <v>475</v>
      </c>
      <c r="I82" s="23">
        <f t="shared" si="9"/>
        <v>11</v>
      </c>
      <c r="J82" s="23">
        <v>11</v>
      </c>
      <c r="K82" s="20"/>
      <c r="L82" s="20" t="s">
        <v>145</v>
      </c>
      <c r="M82" s="20">
        <v>366</v>
      </c>
      <c r="N82" s="20">
        <v>921</v>
      </c>
      <c r="O82" s="20">
        <v>16</v>
      </c>
      <c r="P82" s="20">
        <v>40</v>
      </c>
      <c r="Q82" s="21" t="s">
        <v>476</v>
      </c>
      <c r="R82" s="20" t="s">
        <v>373</v>
      </c>
      <c r="S82" s="20" t="s">
        <v>148</v>
      </c>
      <c r="T82" s="20" t="s">
        <v>451</v>
      </c>
      <c r="U82" s="20"/>
    </row>
    <row r="83" ht="139.2" spans="1:21">
      <c r="A83" s="20">
        <f t="shared" si="10"/>
        <v>78</v>
      </c>
      <c r="B83" s="20" t="s">
        <v>13</v>
      </c>
      <c r="C83" s="20" t="s">
        <v>15</v>
      </c>
      <c r="D83" s="20" t="s">
        <v>17</v>
      </c>
      <c r="E83" s="20" t="s">
        <v>477</v>
      </c>
      <c r="F83" s="21" t="s">
        <v>478</v>
      </c>
      <c r="G83" s="20" t="s">
        <v>370</v>
      </c>
      <c r="H83" s="20" t="s">
        <v>479</v>
      </c>
      <c r="I83" s="23">
        <f t="shared" si="9"/>
        <v>13</v>
      </c>
      <c r="J83" s="23">
        <v>13</v>
      </c>
      <c r="K83" s="20"/>
      <c r="L83" s="20" t="s">
        <v>145</v>
      </c>
      <c r="M83" s="20">
        <v>449</v>
      </c>
      <c r="N83" s="20">
        <v>1146</v>
      </c>
      <c r="O83" s="20">
        <v>55</v>
      </c>
      <c r="P83" s="20">
        <v>119</v>
      </c>
      <c r="Q83" s="21" t="s">
        <v>480</v>
      </c>
      <c r="R83" s="20" t="s">
        <v>373</v>
      </c>
      <c r="S83" s="20" t="s">
        <v>148</v>
      </c>
      <c r="T83" s="20" t="s">
        <v>451</v>
      </c>
      <c r="U83" s="20"/>
    </row>
    <row r="84" ht="121.8" spans="1:21">
      <c r="A84" s="20">
        <f t="shared" si="10"/>
        <v>79</v>
      </c>
      <c r="B84" s="20" t="s">
        <v>13</v>
      </c>
      <c r="C84" s="20" t="s">
        <v>15</v>
      </c>
      <c r="D84" s="20" t="s">
        <v>17</v>
      </c>
      <c r="E84" s="20" t="s">
        <v>481</v>
      </c>
      <c r="F84" s="21" t="s">
        <v>482</v>
      </c>
      <c r="G84" s="20" t="s">
        <v>370</v>
      </c>
      <c r="H84" s="20" t="s">
        <v>483</v>
      </c>
      <c r="I84" s="23">
        <f t="shared" si="9"/>
        <v>6</v>
      </c>
      <c r="J84" s="23">
        <v>6</v>
      </c>
      <c r="K84" s="20"/>
      <c r="L84" s="20" t="s">
        <v>145</v>
      </c>
      <c r="M84" s="20">
        <v>569</v>
      </c>
      <c r="N84" s="20">
        <v>1520</v>
      </c>
      <c r="O84" s="20">
        <v>49</v>
      </c>
      <c r="P84" s="20">
        <v>105</v>
      </c>
      <c r="Q84" s="21" t="s">
        <v>484</v>
      </c>
      <c r="R84" s="20" t="s">
        <v>373</v>
      </c>
      <c r="S84" s="20" t="s">
        <v>148</v>
      </c>
      <c r="T84" s="20" t="s">
        <v>451</v>
      </c>
      <c r="U84" s="20"/>
    </row>
    <row r="85" ht="121.8" spans="1:21">
      <c r="A85" s="20">
        <f t="shared" si="10"/>
        <v>80</v>
      </c>
      <c r="B85" s="20" t="s">
        <v>13</v>
      </c>
      <c r="C85" s="20" t="s">
        <v>15</v>
      </c>
      <c r="D85" s="20" t="s">
        <v>17</v>
      </c>
      <c r="E85" s="20" t="s">
        <v>485</v>
      </c>
      <c r="F85" s="21" t="s">
        <v>486</v>
      </c>
      <c r="G85" s="20" t="s">
        <v>370</v>
      </c>
      <c r="H85" s="20" t="s">
        <v>487</v>
      </c>
      <c r="I85" s="23">
        <f t="shared" si="9"/>
        <v>0.35</v>
      </c>
      <c r="J85" s="23">
        <v>0.35</v>
      </c>
      <c r="K85" s="20"/>
      <c r="L85" s="20" t="s">
        <v>145</v>
      </c>
      <c r="M85" s="20">
        <v>567</v>
      </c>
      <c r="N85" s="20">
        <v>1418</v>
      </c>
      <c r="O85" s="20">
        <v>51</v>
      </c>
      <c r="P85" s="20">
        <v>109</v>
      </c>
      <c r="Q85" s="21" t="s">
        <v>488</v>
      </c>
      <c r="R85" s="20" t="s">
        <v>373</v>
      </c>
      <c r="S85" s="20" t="s">
        <v>148</v>
      </c>
      <c r="T85" s="20" t="s">
        <v>451</v>
      </c>
      <c r="U85" s="20"/>
    </row>
    <row r="86" ht="90" customHeight="1" spans="1:21">
      <c r="A86" s="20">
        <f t="shared" si="10"/>
        <v>81</v>
      </c>
      <c r="B86" s="20" t="s">
        <v>13</v>
      </c>
      <c r="C86" s="20" t="s">
        <v>15</v>
      </c>
      <c r="D86" s="20" t="s">
        <v>17</v>
      </c>
      <c r="E86" s="20" t="s">
        <v>489</v>
      </c>
      <c r="F86" s="21" t="s">
        <v>490</v>
      </c>
      <c r="G86" s="20" t="s">
        <v>164</v>
      </c>
      <c r="H86" s="20" t="s">
        <v>328</v>
      </c>
      <c r="I86" s="23">
        <f t="shared" si="9"/>
        <v>0.9</v>
      </c>
      <c r="J86" s="29">
        <v>0.9</v>
      </c>
      <c r="K86" s="28"/>
      <c r="L86" s="28" t="s">
        <v>145</v>
      </c>
      <c r="M86" s="28">
        <v>1</v>
      </c>
      <c r="N86" s="28">
        <v>2</v>
      </c>
      <c r="O86" s="28">
        <v>1</v>
      </c>
      <c r="P86" s="28">
        <v>2</v>
      </c>
      <c r="Q86" s="21" t="s">
        <v>491</v>
      </c>
      <c r="R86" s="20" t="s">
        <v>167</v>
      </c>
      <c r="S86" s="20" t="s">
        <v>148</v>
      </c>
      <c r="T86" s="20" t="s">
        <v>392</v>
      </c>
      <c r="U86" s="20"/>
    </row>
    <row r="87" ht="222" customHeight="1" spans="1:21">
      <c r="A87" s="20">
        <f t="shared" ref="A87:A96" si="11">ROW()-5</f>
        <v>82</v>
      </c>
      <c r="B87" s="20" t="s">
        <v>13</v>
      </c>
      <c r="C87" s="20" t="s">
        <v>15</v>
      </c>
      <c r="D87" s="20" t="s">
        <v>17</v>
      </c>
      <c r="E87" s="20" t="s">
        <v>492</v>
      </c>
      <c r="F87" s="21" t="s">
        <v>493</v>
      </c>
      <c r="G87" s="20" t="s">
        <v>164</v>
      </c>
      <c r="H87" s="20" t="s">
        <v>335</v>
      </c>
      <c r="I87" s="23">
        <f t="shared" si="9"/>
        <v>215.27</v>
      </c>
      <c r="J87" s="29">
        <v>215.27</v>
      </c>
      <c r="K87" s="28"/>
      <c r="L87" s="28" t="s">
        <v>145</v>
      </c>
      <c r="M87" s="28">
        <v>231</v>
      </c>
      <c r="N87" s="28">
        <v>589</v>
      </c>
      <c r="O87" s="28">
        <v>11</v>
      </c>
      <c r="P87" s="28">
        <v>22</v>
      </c>
      <c r="Q87" s="21" t="s">
        <v>494</v>
      </c>
      <c r="R87" s="20" t="s">
        <v>167</v>
      </c>
      <c r="S87" s="20" t="s">
        <v>148</v>
      </c>
      <c r="T87" s="20" t="s">
        <v>392</v>
      </c>
      <c r="U87" s="20"/>
    </row>
    <row r="88" ht="116" customHeight="1" spans="1:21">
      <c r="A88" s="20">
        <f t="shared" si="11"/>
        <v>83</v>
      </c>
      <c r="B88" s="20" t="s">
        <v>13</v>
      </c>
      <c r="C88" s="20" t="s">
        <v>15</v>
      </c>
      <c r="D88" s="20" t="s">
        <v>17</v>
      </c>
      <c r="E88" s="20" t="s">
        <v>495</v>
      </c>
      <c r="F88" s="21" t="s">
        <v>496</v>
      </c>
      <c r="G88" s="20" t="s">
        <v>185</v>
      </c>
      <c r="H88" s="20" t="s">
        <v>497</v>
      </c>
      <c r="I88" s="23">
        <f t="shared" si="9"/>
        <v>11</v>
      </c>
      <c r="J88" s="23">
        <v>11</v>
      </c>
      <c r="K88" s="20"/>
      <c r="L88" s="20" t="s">
        <v>145</v>
      </c>
      <c r="M88" s="20">
        <v>354</v>
      </c>
      <c r="N88" s="20">
        <v>962</v>
      </c>
      <c r="O88" s="20">
        <v>12</v>
      </c>
      <c r="P88" s="20">
        <v>18</v>
      </c>
      <c r="Q88" s="21" t="s">
        <v>498</v>
      </c>
      <c r="R88" s="20" t="s">
        <v>188</v>
      </c>
      <c r="S88" s="20" t="s">
        <v>148</v>
      </c>
      <c r="T88" s="20" t="s">
        <v>189</v>
      </c>
      <c r="U88" s="20"/>
    </row>
    <row r="89" ht="87" spans="1:21">
      <c r="A89" s="20">
        <f t="shared" si="11"/>
        <v>84</v>
      </c>
      <c r="B89" s="20" t="s">
        <v>13</v>
      </c>
      <c r="C89" s="20" t="s">
        <v>15</v>
      </c>
      <c r="D89" s="20" t="s">
        <v>17</v>
      </c>
      <c r="E89" s="20" t="s">
        <v>499</v>
      </c>
      <c r="F89" s="21" t="s">
        <v>500</v>
      </c>
      <c r="G89" s="20" t="s">
        <v>185</v>
      </c>
      <c r="H89" s="20" t="s">
        <v>501</v>
      </c>
      <c r="I89" s="23">
        <f t="shared" si="9"/>
        <v>37</v>
      </c>
      <c r="J89" s="23">
        <v>37</v>
      </c>
      <c r="K89" s="20"/>
      <c r="L89" s="28" t="s">
        <v>145</v>
      </c>
      <c r="M89" s="28">
        <v>400</v>
      </c>
      <c r="N89" s="28">
        <v>1110</v>
      </c>
      <c r="O89" s="28">
        <v>26</v>
      </c>
      <c r="P89" s="28">
        <v>44</v>
      </c>
      <c r="Q89" s="21" t="s">
        <v>502</v>
      </c>
      <c r="R89" s="20" t="s">
        <v>188</v>
      </c>
      <c r="S89" s="20" t="s">
        <v>148</v>
      </c>
      <c r="T89" s="20" t="s">
        <v>189</v>
      </c>
      <c r="U89" s="20"/>
    </row>
    <row r="90" ht="192.6" spans="1:21">
      <c r="A90" s="20">
        <f t="shared" si="11"/>
        <v>85</v>
      </c>
      <c r="B90" s="20" t="s">
        <v>13</v>
      </c>
      <c r="C90" s="20" t="s">
        <v>15</v>
      </c>
      <c r="D90" s="20" t="s">
        <v>17</v>
      </c>
      <c r="E90" s="20" t="s">
        <v>503</v>
      </c>
      <c r="F90" s="21" t="s">
        <v>504</v>
      </c>
      <c r="G90" s="20" t="s">
        <v>164</v>
      </c>
      <c r="H90" s="20" t="s">
        <v>164</v>
      </c>
      <c r="I90" s="23">
        <f t="shared" si="9"/>
        <v>286</v>
      </c>
      <c r="J90" s="29">
        <v>286</v>
      </c>
      <c r="K90" s="28"/>
      <c r="L90" s="28" t="s">
        <v>145</v>
      </c>
      <c r="M90" s="28">
        <v>4403</v>
      </c>
      <c r="N90" s="28">
        <v>12252</v>
      </c>
      <c r="O90" s="28">
        <v>166</v>
      </c>
      <c r="P90" s="28">
        <v>335</v>
      </c>
      <c r="Q90" s="21" t="s">
        <v>505</v>
      </c>
      <c r="R90" s="20" t="s">
        <v>167</v>
      </c>
      <c r="S90" s="20" t="s">
        <v>148</v>
      </c>
      <c r="T90" s="20" t="s">
        <v>392</v>
      </c>
      <c r="U90" s="20"/>
    </row>
    <row r="91" ht="121.8" spans="1:21">
      <c r="A91" s="20">
        <f t="shared" si="11"/>
        <v>86</v>
      </c>
      <c r="B91" s="20" t="s">
        <v>13</v>
      </c>
      <c r="C91" s="20" t="s">
        <v>15</v>
      </c>
      <c r="D91" s="20" t="s">
        <v>17</v>
      </c>
      <c r="E91" s="20" t="s">
        <v>506</v>
      </c>
      <c r="F91" s="21" t="s">
        <v>507</v>
      </c>
      <c r="G91" s="20" t="s">
        <v>164</v>
      </c>
      <c r="H91" s="20" t="s">
        <v>264</v>
      </c>
      <c r="I91" s="23">
        <f t="shared" si="9"/>
        <v>105</v>
      </c>
      <c r="J91" s="29">
        <v>105</v>
      </c>
      <c r="K91" s="28"/>
      <c r="L91" s="28" t="s">
        <v>145</v>
      </c>
      <c r="M91" s="28">
        <v>434</v>
      </c>
      <c r="N91" s="28">
        <v>1174</v>
      </c>
      <c r="O91" s="28">
        <v>14</v>
      </c>
      <c r="P91" s="28">
        <v>31</v>
      </c>
      <c r="Q91" s="21" t="s">
        <v>508</v>
      </c>
      <c r="R91" s="20" t="s">
        <v>167</v>
      </c>
      <c r="S91" s="20" t="s">
        <v>148</v>
      </c>
      <c r="T91" s="20" t="s">
        <v>392</v>
      </c>
      <c r="U91" s="20"/>
    </row>
    <row r="92" ht="87" spans="1:21">
      <c r="A92" s="20">
        <f t="shared" si="11"/>
        <v>87</v>
      </c>
      <c r="B92" s="20" t="s">
        <v>13</v>
      </c>
      <c r="C92" s="20" t="s">
        <v>15</v>
      </c>
      <c r="D92" s="20" t="s">
        <v>17</v>
      </c>
      <c r="E92" s="20" t="s">
        <v>509</v>
      </c>
      <c r="F92" s="21" t="s">
        <v>510</v>
      </c>
      <c r="G92" s="20" t="s">
        <v>185</v>
      </c>
      <c r="H92" s="20" t="s">
        <v>497</v>
      </c>
      <c r="I92" s="23">
        <f t="shared" si="9"/>
        <v>35</v>
      </c>
      <c r="J92" s="29">
        <v>35</v>
      </c>
      <c r="K92" s="28"/>
      <c r="L92" s="20" t="s">
        <v>145</v>
      </c>
      <c r="M92" s="20">
        <v>354</v>
      </c>
      <c r="N92" s="20">
        <v>962</v>
      </c>
      <c r="O92" s="20">
        <v>12</v>
      </c>
      <c r="P92" s="20">
        <v>18</v>
      </c>
      <c r="Q92" s="21" t="s">
        <v>511</v>
      </c>
      <c r="R92" s="20" t="s">
        <v>188</v>
      </c>
      <c r="S92" s="20" t="s">
        <v>148</v>
      </c>
      <c r="T92" s="20" t="s">
        <v>189</v>
      </c>
      <c r="U92" s="20"/>
    </row>
    <row r="93" ht="71.8" customHeight="1" spans="1:21">
      <c r="A93" s="20">
        <f t="shared" si="11"/>
        <v>88</v>
      </c>
      <c r="B93" s="20" t="s">
        <v>13</v>
      </c>
      <c r="C93" s="20" t="s">
        <v>15</v>
      </c>
      <c r="D93" s="20" t="s">
        <v>17</v>
      </c>
      <c r="E93" s="20" t="s">
        <v>512</v>
      </c>
      <c r="F93" s="21" t="s">
        <v>513</v>
      </c>
      <c r="G93" s="20" t="s">
        <v>185</v>
      </c>
      <c r="H93" s="20" t="s">
        <v>514</v>
      </c>
      <c r="I93" s="23">
        <f t="shared" si="9"/>
        <v>150</v>
      </c>
      <c r="J93" s="23">
        <v>150</v>
      </c>
      <c r="K93" s="20"/>
      <c r="L93" s="20" t="s">
        <v>145</v>
      </c>
      <c r="M93" s="28">
        <v>178</v>
      </c>
      <c r="N93" s="28">
        <v>600</v>
      </c>
      <c r="O93" s="28">
        <v>0</v>
      </c>
      <c r="P93" s="28">
        <v>0</v>
      </c>
      <c r="Q93" s="21" t="s">
        <v>515</v>
      </c>
      <c r="R93" s="20" t="s">
        <v>188</v>
      </c>
      <c r="S93" s="20" t="s">
        <v>148</v>
      </c>
      <c r="T93" s="20" t="s">
        <v>189</v>
      </c>
      <c r="U93" s="20"/>
    </row>
    <row r="94" ht="96" customHeight="1" spans="1:21">
      <c r="A94" s="20">
        <f t="shared" si="11"/>
        <v>89</v>
      </c>
      <c r="B94" s="20" t="s">
        <v>13</v>
      </c>
      <c r="C94" s="20" t="s">
        <v>15</v>
      </c>
      <c r="D94" s="20" t="s">
        <v>17</v>
      </c>
      <c r="E94" s="20" t="s">
        <v>516</v>
      </c>
      <c r="F94" s="21" t="s">
        <v>517</v>
      </c>
      <c r="G94" s="20" t="s">
        <v>279</v>
      </c>
      <c r="H94" s="20" t="s">
        <v>518</v>
      </c>
      <c r="I94" s="23">
        <f t="shared" si="9"/>
        <v>15</v>
      </c>
      <c r="J94" s="23">
        <v>15</v>
      </c>
      <c r="K94" s="20"/>
      <c r="L94" s="20" t="s">
        <v>145</v>
      </c>
      <c r="M94" s="20">
        <v>287</v>
      </c>
      <c r="N94" s="20">
        <v>936</v>
      </c>
      <c r="O94" s="20">
        <v>17</v>
      </c>
      <c r="P94" s="20">
        <v>46</v>
      </c>
      <c r="Q94" s="21" t="s">
        <v>519</v>
      </c>
      <c r="R94" s="20" t="s">
        <v>282</v>
      </c>
      <c r="S94" s="20" t="s">
        <v>148</v>
      </c>
      <c r="T94" s="20" t="s">
        <v>392</v>
      </c>
      <c r="U94" s="20"/>
    </row>
    <row r="95" ht="87" customHeight="1" spans="1:21">
      <c r="A95" s="20">
        <f t="shared" si="11"/>
        <v>90</v>
      </c>
      <c r="B95" s="20" t="s">
        <v>13</v>
      </c>
      <c r="C95" s="20" t="s">
        <v>15</v>
      </c>
      <c r="D95" s="20" t="s">
        <v>17</v>
      </c>
      <c r="E95" s="20" t="s">
        <v>520</v>
      </c>
      <c r="F95" s="21" t="s">
        <v>521</v>
      </c>
      <c r="G95" s="20" t="s">
        <v>279</v>
      </c>
      <c r="H95" s="20" t="s">
        <v>522</v>
      </c>
      <c r="I95" s="23">
        <f t="shared" si="9"/>
        <v>160</v>
      </c>
      <c r="J95" s="23">
        <v>160</v>
      </c>
      <c r="K95" s="20"/>
      <c r="L95" s="20" t="s">
        <v>145</v>
      </c>
      <c r="M95" s="20">
        <v>96</v>
      </c>
      <c r="N95" s="20">
        <v>218</v>
      </c>
      <c r="O95" s="20">
        <v>7</v>
      </c>
      <c r="P95" s="20">
        <v>13</v>
      </c>
      <c r="Q95" s="21" t="s">
        <v>523</v>
      </c>
      <c r="R95" s="20" t="s">
        <v>148</v>
      </c>
      <c r="S95" s="20" t="s">
        <v>148</v>
      </c>
      <c r="T95" s="20" t="s">
        <v>392</v>
      </c>
      <c r="U95" s="20"/>
    </row>
    <row r="96" ht="87" customHeight="1" spans="1:21">
      <c r="A96" s="20">
        <f t="shared" si="11"/>
        <v>91</v>
      </c>
      <c r="B96" s="20" t="s">
        <v>13</v>
      </c>
      <c r="C96" s="20" t="s">
        <v>15</v>
      </c>
      <c r="D96" s="20" t="s">
        <v>17</v>
      </c>
      <c r="E96" s="20" t="s">
        <v>524</v>
      </c>
      <c r="F96" s="21" t="s">
        <v>525</v>
      </c>
      <c r="G96" s="20" t="s">
        <v>279</v>
      </c>
      <c r="H96" s="20" t="s">
        <v>526</v>
      </c>
      <c r="I96" s="23">
        <f t="shared" si="9"/>
        <v>130</v>
      </c>
      <c r="J96" s="23">
        <v>130</v>
      </c>
      <c r="K96" s="20"/>
      <c r="L96" s="20" t="s">
        <v>145</v>
      </c>
      <c r="M96" s="20">
        <v>485</v>
      </c>
      <c r="N96" s="20">
        <v>1243</v>
      </c>
      <c r="O96" s="20">
        <v>22</v>
      </c>
      <c r="P96" s="20">
        <v>38</v>
      </c>
      <c r="Q96" s="21" t="s">
        <v>527</v>
      </c>
      <c r="R96" s="20" t="s">
        <v>148</v>
      </c>
      <c r="S96" s="20" t="s">
        <v>148</v>
      </c>
      <c r="T96" s="20" t="s">
        <v>392</v>
      </c>
      <c r="U96" s="20"/>
    </row>
    <row r="97" ht="87" customHeight="1" spans="1:21">
      <c r="A97" s="20">
        <f t="shared" ref="A97:A108" si="12">ROW()-5</f>
        <v>92</v>
      </c>
      <c r="B97" s="20" t="s">
        <v>13</v>
      </c>
      <c r="C97" s="20" t="s">
        <v>15</v>
      </c>
      <c r="D97" s="20" t="s">
        <v>17</v>
      </c>
      <c r="E97" s="20" t="s">
        <v>528</v>
      </c>
      <c r="F97" s="21" t="s">
        <v>529</v>
      </c>
      <c r="G97" s="20" t="s">
        <v>279</v>
      </c>
      <c r="H97" s="20" t="s">
        <v>390</v>
      </c>
      <c r="I97" s="23">
        <f t="shared" si="9"/>
        <v>15</v>
      </c>
      <c r="J97" s="23">
        <v>15</v>
      </c>
      <c r="K97" s="20"/>
      <c r="L97" s="20" t="s">
        <v>145</v>
      </c>
      <c r="M97" s="20">
        <v>563</v>
      </c>
      <c r="N97" s="20">
        <v>1291</v>
      </c>
      <c r="O97" s="20">
        <v>7</v>
      </c>
      <c r="P97" s="20">
        <v>10</v>
      </c>
      <c r="Q97" s="21" t="s">
        <v>530</v>
      </c>
      <c r="R97" s="20" t="s">
        <v>282</v>
      </c>
      <c r="S97" s="20" t="s">
        <v>148</v>
      </c>
      <c r="T97" s="20" t="s">
        <v>392</v>
      </c>
      <c r="U97" s="20"/>
    </row>
    <row r="98" ht="87" customHeight="1" spans="1:21">
      <c r="A98" s="20">
        <f t="shared" si="12"/>
        <v>93</v>
      </c>
      <c r="B98" s="33" t="s">
        <v>13</v>
      </c>
      <c r="C98" s="20" t="s">
        <v>15</v>
      </c>
      <c r="D98" s="20" t="s">
        <v>17</v>
      </c>
      <c r="E98" s="33" t="s">
        <v>531</v>
      </c>
      <c r="F98" s="34" t="s">
        <v>532</v>
      </c>
      <c r="G98" s="33" t="s">
        <v>279</v>
      </c>
      <c r="H98" s="33" t="s">
        <v>280</v>
      </c>
      <c r="I98" s="23">
        <f t="shared" si="9"/>
        <v>66</v>
      </c>
      <c r="J98" s="36">
        <v>66</v>
      </c>
      <c r="K98" s="33"/>
      <c r="L98" s="33" t="s">
        <v>145</v>
      </c>
      <c r="M98" s="33">
        <v>454</v>
      </c>
      <c r="N98" s="33">
        <v>1117</v>
      </c>
      <c r="O98" s="33">
        <v>13</v>
      </c>
      <c r="P98" s="33">
        <v>29</v>
      </c>
      <c r="Q98" s="34" t="s">
        <v>533</v>
      </c>
      <c r="R98" s="33" t="s">
        <v>282</v>
      </c>
      <c r="S98" s="33" t="s">
        <v>148</v>
      </c>
      <c r="T98" s="33" t="s">
        <v>392</v>
      </c>
      <c r="U98" s="20"/>
    </row>
    <row r="99" ht="87" customHeight="1" spans="1:21">
      <c r="A99" s="20">
        <f t="shared" si="12"/>
        <v>94</v>
      </c>
      <c r="B99" s="33" t="s">
        <v>13</v>
      </c>
      <c r="C99" s="20" t="s">
        <v>15</v>
      </c>
      <c r="D99" s="20" t="s">
        <v>17</v>
      </c>
      <c r="E99" s="33" t="s">
        <v>534</v>
      </c>
      <c r="F99" s="34" t="s">
        <v>535</v>
      </c>
      <c r="G99" s="33" t="s">
        <v>279</v>
      </c>
      <c r="H99" s="33" t="s">
        <v>280</v>
      </c>
      <c r="I99" s="23">
        <f t="shared" si="9"/>
        <v>86</v>
      </c>
      <c r="J99" s="36">
        <v>86</v>
      </c>
      <c r="K99" s="33"/>
      <c r="L99" s="33" t="s">
        <v>145</v>
      </c>
      <c r="M99" s="33">
        <v>454</v>
      </c>
      <c r="N99" s="33">
        <v>1117</v>
      </c>
      <c r="O99" s="33">
        <v>13</v>
      </c>
      <c r="P99" s="33">
        <v>29</v>
      </c>
      <c r="Q99" s="34" t="s">
        <v>533</v>
      </c>
      <c r="R99" s="33" t="s">
        <v>282</v>
      </c>
      <c r="S99" s="33" t="s">
        <v>148</v>
      </c>
      <c r="T99" s="33" t="s">
        <v>392</v>
      </c>
      <c r="U99" s="20"/>
    </row>
    <row r="100" ht="190" customHeight="1" spans="1:21">
      <c r="A100" s="20">
        <f t="shared" si="12"/>
        <v>95</v>
      </c>
      <c r="B100" s="20" t="s">
        <v>13</v>
      </c>
      <c r="C100" s="20" t="s">
        <v>15</v>
      </c>
      <c r="D100" s="20" t="s">
        <v>17</v>
      </c>
      <c r="E100" s="20" t="s">
        <v>536</v>
      </c>
      <c r="F100" s="21" t="s">
        <v>537</v>
      </c>
      <c r="G100" s="20" t="s">
        <v>279</v>
      </c>
      <c r="H100" s="20" t="s">
        <v>522</v>
      </c>
      <c r="I100" s="23">
        <f t="shared" si="9"/>
        <v>38</v>
      </c>
      <c r="J100" s="23">
        <v>38</v>
      </c>
      <c r="K100" s="28"/>
      <c r="L100" s="20" t="s">
        <v>145</v>
      </c>
      <c r="M100" s="20">
        <v>137</v>
      </c>
      <c r="N100" s="20">
        <v>391</v>
      </c>
      <c r="O100" s="20">
        <v>10</v>
      </c>
      <c r="P100" s="20">
        <v>23</v>
      </c>
      <c r="Q100" s="21" t="s">
        <v>538</v>
      </c>
      <c r="R100" s="20" t="s">
        <v>282</v>
      </c>
      <c r="S100" s="20" t="s">
        <v>148</v>
      </c>
      <c r="T100" s="33" t="s">
        <v>392</v>
      </c>
      <c r="U100" s="20"/>
    </row>
    <row r="101" ht="105" spans="1:21">
      <c r="A101" s="20">
        <f t="shared" si="12"/>
        <v>96</v>
      </c>
      <c r="B101" s="20" t="s">
        <v>13</v>
      </c>
      <c r="C101" s="20" t="s">
        <v>15</v>
      </c>
      <c r="D101" s="20" t="s">
        <v>17</v>
      </c>
      <c r="E101" s="20" t="s">
        <v>539</v>
      </c>
      <c r="F101" s="21" t="s">
        <v>540</v>
      </c>
      <c r="G101" s="20" t="s">
        <v>279</v>
      </c>
      <c r="H101" s="20" t="s">
        <v>522</v>
      </c>
      <c r="I101" s="23">
        <f t="shared" si="9"/>
        <v>16</v>
      </c>
      <c r="J101" s="23">
        <v>12.4</v>
      </c>
      <c r="K101" s="28">
        <v>3.6</v>
      </c>
      <c r="L101" s="20" t="s">
        <v>145</v>
      </c>
      <c r="M101" s="20">
        <v>703</v>
      </c>
      <c r="N101" s="20">
        <v>1745</v>
      </c>
      <c r="O101" s="20">
        <v>33</v>
      </c>
      <c r="P101" s="20">
        <v>69</v>
      </c>
      <c r="Q101" s="21" t="s">
        <v>541</v>
      </c>
      <c r="R101" s="20" t="s">
        <v>282</v>
      </c>
      <c r="S101" s="20" t="s">
        <v>148</v>
      </c>
      <c r="T101" s="20" t="s">
        <v>392</v>
      </c>
      <c r="U101" s="20"/>
    </row>
    <row r="102" ht="106.25" customHeight="1" spans="1:21">
      <c r="A102" s="20">
        <f t="shared" si="12"/>
        <v>97</v>
      </c>
      <c r="B102" s="33" t="s">
        <v>13</v>
      </c>
      <c r="C102" s="33" t="s">
        <v>15</v>
      </c>
      <c r="D102" s="33" t="s">
        <v>17</v>
      </c>
      <c r="E102" s="33" t="s">
        <v>542</v>
      </c>
      <c r="F102" s="34" t="s">
        <v>543</v>
      </c>
      <c r="G102" s="33" t="s">
        <v>279</v>
      </c>
      <c r="H102" s="33" t="s">
        <v>544</v>
      </c>
      <c r="I102" s="23">
        <f t="shared" si="9"/>
        <v>3</v>
      </c>
      <c r="J102" s="36">
        <v>3</v>
      </c>
      <c r="K102" s="33"/>
      <c r="L102" s="33" t="s">
        <v>145</v>
      </c>
      <c r="M102" s="33">
        <v>444</v>
      </c>
      <c r="N102" s="33">
        <v>1088</v>
      </c>
      <c r="O102" s="33">
        <v>11</v>
      </c>
      <c r="P102" s="33">
        <v>20</v>
      </c>
      <c r="Q102" s="34" t="s">
        <v>545</v>
      </c>
      <c r="R102" s="33" t="s">
        <v>282</v>
      </c>
      <c r="S102" s="33" t="s">
        <v>148</v>
      </c>
      <c r="T102" s="33" t="s">
        <v>546</v>
      </c>
      <c r="U102" s="20"/>
    </row>
    <row r="103" ht="196" customHeight="1" spans="1:21">
      <c r="A103" s="20">
        <f t="shared" si="12"/>
        <v>98</v>
      </c>
      <c r="B103" s="20" t="s">
        <v>13</v>
      </c>
      <c r="C103" s="20" t="s">
        <v>15</v>
      </c>
      <c r="D103" s="20" t="s">
        <v>17</v>
      </c>
      <c r="E103" s="20" t="s">
        <v>547</v>
      </c>
      <c r="F103" s="21" t="s">
        <v>548</v>
      </c>
      <c r="G103" s="20" t="s">
        <v>370</v>
      </c>
      <c r="H103" s="20" t="s">
        <v>475</v>
      </c>
      <c r="I103" s="23">
        <f t="shared" si="9"/>
        <v>56</v>
      </c>
      <c r="J103" s="23">
        <v>56</v>
      </c>
      <c r="K103" s="20">
        <v>0</v>
      </c>
      <c r="L103" s="20" t="s">
        <v>145</v>
      </c>
      <c r="M103" s="20">
        <v>366</v>
      </c>
      <c r="N103" s="22">
        <v>921</v>
      </c>
      <c r="O103" s="20">
        <v>16</v>
      </c>
      <c r="P103" s="20">
        <v>40</v>
      </c>
      <c r="Q103" s="21" t="s">
        <v>549</v>
      </c>
      <c r="R103" s="20" t="s">
        <v>373</v>
      </c>
      <c r="S103" s="20" t="s">
        <v>148</v>
      </c>
      <c r="T103" s="20" t="s">
        <v>451</v>
      </c>
      <c r="U103" s="20"/>
    </row>
    <row r="104" ht="139.2" spans="1:21">
      <c r="A104" s="20">
        <f t="shared" si="12"/>
        <v>99</v>
      </c>
      <c r="B104" s="20" t="s">
        <v>13</v>
      </c>
      <c r="C104" s="20" t="s">
        <v>15</v>
      </c>
      <c r="D104" s="20" t="s">
        <v>17</v>
      </c>
      <c r="E104" s="20" t="s">
        <v>550</v>
      </c>
      <c r="F104" s="21" t="s">
        <v>551</v>
      </c>
      <c r="G104" s="20" t="s">
        <v>370</v>
      </c>
      <c r="H104" s="20" t="s">
        <v>552</v>
      </c>
      <c r="I104" s="23">
        <f t="shared" si="9"/>
        <v>13.5</v>
      </c>
      <c r="J104" s="23">
        <v>13.5</v>
      </c>
      <c r="K104" s="20"/>
      <c r="L104" s="20" t="s">
        <v>145</v>
      </c>
      <c r="M104" s="20">
        <v>351</v>
      </c>
      <c r="N104" s="20">
        <v>873</v>
      </c>
      <c r="O104" s="20">
        <v>13</v>
      </c>
      <c r="P104" s="20">
        <v>25</v>
      </c>
      <c r="Q104" s="21" t="s">
        <v>553</v>
      </c>
      <c r="R104" s="20" t="s">
        <v>373</v>
      </c>
      <c r="S104" s="20" t="s">
        <v>148</v>
      </c>
      <c r="T104" s="20" t="s">
        <v>451</v>
      </c>
      <c r="U104" s="20"/>
    </row>
    <row r="105" ht="72" customHeight="1" spans="1:21">
      <c r="A105" s="20">
        <f t="shared" si="12"/>
        <v>100</v>
      </c>
      <c r="B105" s="35" t="s">
        <v>13</v>
      </c>
      <c r="C105" s="20" t="s">
        <v>15</v>
      </c>
      <c r="D105" s="35" t="s">
        <v>17</v>
      </c>
      <c r="E105" s="20" t="s">
        <v>554</v>
      </c>
      <c r="F105" s="21" t="s">
        <v>555</v>
      </c>
      <c r="G105" s="20" t="s">
        <v>556</v>
      </c>
      <c r="H105" s="20" t="s">
        <v>385</v>
      </c>
      <c r="I105" s="23">
        <f t="shared" si="9"/>
        <v>26.7679</v>
      </c>
      <c r="J105" s="23">
        <v>26.7679</v>
      </c>
      <c r="K105" s="20"/>
      <c r="L105" s="20" t="s">
        <v>145</v>
      </c>
      <c r="M105" s="20">
        <v>52</v>
      </c>
      <c r="N105" s="20">
        <v>110</v>
      </c>
      <c r="O105" s="20">
        <v>52</v>
      </c>
      <c r="P105" s="20">
        <v>110</v>
      </c>
      <c r="Q105" s="21" t="s">
        <v>557</v>
      </c>
      <c r="R105" s="20" t="s">
        <v>558</v>
      </c>
      <c r="S105" s="20" t="s">
        <v>148</v>
      </c>
      <c r="T105" s="20" t="s">
        <v>559</v>
      </c>
      <c r="U105" s="20"/>
    </row>
    <row r="106" ht="74" customHeight="1" spans="1:21">
      <c r="A106" s="20">
        <f t="shared" si="12"/>
        <v>101</v>
      </c>
      <c r="B106" s="35" t="s">
        <v>13</v>
      </c>
      <c r="C106" s="20" t="s">
        <v>15</v>
      </c>
      <c r="D106" s="35" t="s">
        <v>17</v>
      </c>
      <c r="E106" s="20" t="s">
        <v>560</v>
      </c>
      <c r="F106" s="21" t="s">
        <v>561</v>
      </c>
      <c r="G106" s="20" t="s">
        <v>556</v>
      </c>
      <c r="H106" s="20" t="s">
        <v>562</v>
      </c>
      <c r="I106" s="23">
        <f t="shared" si="9"/>
        <v>18.19</v>
      </c>
      <c r="J106" s="23">
        <v>10.914</v>
      </c>
      <c r="K106" s="20">
        <v>7.276</v>
      </c>
      <c r="L106" s="20" t="s">
        <v>145</v>
      </c>
      <c r="M106" s="20">
        <v>478</v>
      </c>
      <c r="N106" s="20">
        <v>1412</v>
      </c>
      <c r="O106" s="20">
        <v>23</v>
      </c>
      <c r="P106" s="20">
        <v>47</v>
      </c>
      <c r="Q106" s="21" t="s">
        <v>563</v>
      </c>
      <c r="R106" s="20" t="s">
        <v>558</v>
      </c>
      <c r="S106" s="20" t="s">
        <v>148</v>
      </c>
      <c r="T106" s="20" t="s">
        <v>224</v>
      </c>
      <c r="U106" s="20"/>
    </row>
    <row r="107" ht="74" customHeight="1" spans="1:21">
      <c r="A107" s="20">
        <f t="shared" si="12"/>
        <v>102</v>
      </c>
      <c r="B107" s="35" t="s">
        <v>13</v>
      </c>
      <c r="C107" s="20" t="s">
        <v>15</v>
      </c>
      <c r="D107" s="35" t="s">
        <v>17</v>
      </c>
      <c r="E107" s="20" t="s">
        <v>564</v>
      </c>
      <c r="F107" s="21" t="s">
        <v>565</v>
      </c>
      <c r="G107" s="20" t="s">
        <v>556</v>
      </c>
      <c r="H107" s="20" t="s">
        <v>562</v>
      </c>
      <c r="I107" s="23">
        <f t="shared" si="9"/>
        <v>3</v>
      </c>
      <c r="J107" s="23">
        <v>1.8</v>
      </c>
      <c r="K107" s="20">
        <v>1.2</v>
      </c>
      <c r="L107" s="20" t="s">
        <v>145</v>
      </c>
      <c r="M107" s="20">
        <v>478</v>
      </c>
      <c r="N107" s="20">
        <v>1412</v>
      </c>
      <c r="O107" s="20">
        <v>23</v>
      </c>
      <c r="P107" s="20">
        <v>47</v>
      </c>
      <c r="Q107" s="21" t="s">
        <v>566</v>
      </c>
      <c r="R107" s="20" t="s">
        <v>558</v>
      </c>
      <c r="S107" s="20" t="s">
        <v>148</v>
      </c>
      <c r="T107" s="20" t="s">
        <v>224</v>
      </c>
      <c r="U107" s="20"/>
    </row>
    <row r="108" ht="106" customHeight="1" spans="1:21">
      <c r="A108" s="20">
        <f t="shared" si="12"/>
        <v>103</v>
      </c>
      <c r="B108" s="20" t="s">
        <v>13</v>
      </c>
      <c r="C108" s="20" t="s">
        <v>15</v>
      </c>
      <c r="D108" s="20" t="s">
        <v>17</v>
      </c>
      <c r="E108" s="20" t="s">
        <v>567</v>
      </c>
      <c r="F108" s="21" t="s">
        <v>568</v>
      </c>
      <c r="G108" s="20" t="s">
        <v>343</v>
      </c>
      <c r="H108" s="20" t="s">
        <v>385</v>
      </c>
      <c r="I108" s="23">
        <f t="shared" si="9"/>
        <v>36.461</v>
      </c>
      <c r="J108" s="29">
        <v>36.461</v>
      </c>
      <c r="K108" s="28"/>
      <c r="L108" s="20" t="s">
        <v>145</v>
      </c>
      <c r="M108" s="28">
        <v>55</v>
      </c>
      <c r="N108" s="28">
        <v>126</v>
      </c>
      <c r="O108" s="28">
        <v>55</v>
      </c>
      <c r="P108" s="28">
        <v>126</v>
      </c>
      <c r="Q108" s="21" t="s">
        <v>569</v>
      </c>
      <c r="R108" s="20" t="s">
        <v>346</v>
      </c>
      <c r="S108" s="20" t="s">
        <v>148</v>
      </c>
      <c r="T108" s="20" t="s">
        <v>570</v>
      </c>
      <c r="U108" s="20"/>
    </row>
    <row r="109" s="3" customFormat="1" ht="103.15" customHeight="1" spans="1:21">
      <c r="A109" s="20">
        <f t="shared" ref="A109:A119" si="13">ROW()-5</f>
        <v>104</v>
      </c>
      <c r="B109" s="20" t="s">
        <v>13</v>
      </c>
      <c r="C109" s="20" t="s">
        <v>15</v>
      </c>
      <c r="D109" s="20" t="s">
        <v>17</v>
      </c>
      <c r="E109" s="20" t="s">
        <v>571</v>
      </c>
      <c r="F109" s="21" t="s">
        <v>572</v>
      </c>
      <c r="G109" s="20" t="s">
        <v>152</v>
      </c>
      <c r="H109" s="20" t="s">
        <v>307</v>
      </c>
      <c r="I109" s="23">
        <f t="shared" si="9"/>
        <v>51</v>
      </c>
      <c r="J109" s="23">
        <v>51</v>
      </c>
      <c r="K109" s="20"/>
      <c r="L109" s="20" t="s">
        <v>145</v>
      </c>
      <c r="M109" s="20">
        <v>133</v>
      </c>
      <c r="N109" s="20">
        <v>410</v>
      </c>
      <c r="O109" s="20">
        <v>6</v>
      </c>
      <c r="P109" s="20">
        <v>19</v>
      </c>
      <c r="Q109" s="21" t="s">
        <v>573</v>
      </c>
      <c r="R109" s="20" t="s">
        <v>155</v>
      </c>
      <c r="S109" s="20" t="s">
        <v>148</v>
      </c>
      <c r="T109" s="20" t="s">
        <v>156</v>
      </c>
      <c r="U109" s="20"/>
    </row>
    <row r="110" s="3" customFormat="1" ht="110" customHeight="1" spans="1:21">
      <c r="A110" s="20">
        <f t="shared" si="13"/>
        <v>105</v>
      </c>
      <c r="B110" s="20" t="s">
        <v>13</v>
      </c>
      <c r="C110" s="20" t="s">
        <v>15</v>
      </c>
      <c r="D110" s="20" t="s">
        <v>17</v>
      </c>
      <c r="E110" s="20" t="s">
        <v>574</v>
      </c>
      <c r="F110" s="21" t="s">
        <v>575</v>
      </c>
      <c r="G110" s="20" t="s">
        <v>152</v>
      </c>
      <c r="H110" s="20" t="s">
        <v>576</v>
      </c>
      <c r="I110" s="23">
        <f t="shared" si="9"/>
        <v>50</v>
      </c>
      <c r="J110" s="23">
        <v>50</v>
      </c>
      <c r="K110" s="20"/>
      <c r="L110" s="20" t="s">
        <v>145</v>
      </c>
      <c r="M110" s="20">
        <v>129</v>
      </c>
      <c r="N110" s="20">
        <v>357</v>
      </c>
      <c r="O110" s="20">
        <v>7</v>
      </c>
      <c r="P110" s="20">
        <v>16</v>
      </c>
      <c r="Q110" s="21" t="s">
        <v>577</v>
      </c>
      <c r="R110" s="20" t="s">
        <v>155</v>
      </c>
      <c r="S110" s="20" t="s">
        <v>148</v>
      </c>
      <c r="T110" s="20" t="s">
        <v>168</v>
      </c>
      <c r="U110" s="20"/>
    </row>
    <row r="111" s="3" customFormat="1" ht="104" customHeight="1" spans="1:21">
      <c r="A111" s="20">
        <f t="shared" si="13"/>
        <v>106</v>
      </c>
      <c r="B111" s="20" t="s">
        <v>13</v>
      </c>
      <c r="C111" s="20" t="s">
        <v>15</v>
      </c>
      <c r="D111" s="20" t="s">
        <v>17</v>
      </c>
      <c r="E111" s="20" t="s">
        <v>578</v>
      </c>
      <c r="F111" s="21" t="s">
        <v>579</v>
      </c>
      <c r="G111" s="20" t="s">
        <v>152</v>
      </c>
      <c r="H111" s="20" t="s">
        <v>576</v>
      </c>
      <c r="I111" s="23">
        <f t="shared" si="9"/>
        <v>25</v>
      </c>
      <c r="J111" s="23">
        <v>25</v>
      </c>
      <c r="K111" s="20"/>
      <c r="L111" s="20" t="s">
        <v>145</v>
      </c>
      <c r="M111" s="20">
        <v>42</v>
      </c>
      <c r="N111" s="20">
        <v>111</v>
      </c>
      <c r="O111" s="20">
        <v>2</v>
      </c>
      <c r="P111" s="20">
        <v>5</v>
      </c>
      <c r="Q111" s="21" t="s">
        <v>580</v>
      </c>
      <c r="R111" s="20" t="s">
        <v>155</v>
      </c>
      <c r="S111" s="20" t="s">
        <v>148</v>
      </c>
      <c r="T111" s="20" t="s">
        <v>168</v>
      </c>
      <c r="U111" s="20"/>
    </row>
    <row r="112" s="3" customFormat="1" ht="106" customHeight="1" spans="1:21">
      <c r="A112" s="20">
        <f t="shared" si="13"/>
        <v>107</v>
      </c>
      <c r="B112" s="20" t="s">
        <v>13</v>
      </c>
      <c r="C112" s="20" t="s">
        <v>15</v>
      </c>
      <c r="D112" s="20" t="s">
        <v>17</v>
      </c>
      <c r="E112" s="20" t="s">
        <v>581</v>
      </c>
      <c r="F112" s="21" t="s">
        <v>582</v>
      </c>
      <c r="G112" s="20" t="s">
        <v>220</v>
      </c>
      <c r="H112" s="20" t="s">
        <v>583</v>
      </c>
      <c r="I112" s="23">
        <f t="shared" si="9"/>
        <v>80</v>
      </c>
      <c r="J112" s="23">
        <v>80</v>
      </c>
      <c r="K112" s="20">
        <v>0</v>
      </c>
      <c r="L112" s="20" t="s">
        <v>145</v>
      </c>
      <c r="M112" s="20">
        <v>310</v>
      </c>
      <c r="N112" s="20">
        <v>760</v>
      </c>
      <c r="O112" s="20">
        <v>2</v>
      </c>
      <c r="P112" s="20">
        <v>3</v>
      </c>
      <c r="Q112" s="21" t="s">
        <v>584</v>
      </c>
      <c r="R112" s="20" t="s">
        <v>223</v>
      </c>
      <c r="S112" s="20" t="s">
        <v>148</v>
      </c>
      <c r="T112" s="20" t="s">
        <v>585</v>
      </c>
      <c r="U112" s="20"/>
    </row>
    <row r="113" s="3" customFormat="1" ht="126" customHeight="1" spans="1:21">
      <c r="A113" s="20">
        <f t="shared" si="13"/>
        <v>108</v>
      </c>
      <c r="B113" s="20" t="s">
        <v>13</v>
      </c>
      <c r="C113" s="20" t="s">
        <v>15</v>
      </c>
      <c r="D113" s="20" t="s">
        <v>17</v>
      </c>
      <c r="E113" s="20" t="s">
        <v>586</v>
      </c>
      <c r="F113" s="21" t="s">
        <v>587</v>
      </c>
      <c r="G113" s="20" t="s">
        <v>220</v>
      </c>
      <c r="H113" s="20" t="s">
        <v>238</v>
      </c>
      <c r="I113" s="23">
        <f t="shared" si="9"/>
        <v>150</v>
      </c>
      <c r="J113" s="23">
        <v>150</v>
      </c>
      <c r="K113" s="20">
        <v>0</v>
      </c>
      <c r="L113" s="20" t="s">
        <v>145</v>
      </c>
      <c r="M113" s="20">
        <v>453</v>
      </c>
      <c r="N113" s="20">
        <v>986</v>
      </c>
      <c r="O113" s="20">
        <v>8</v>
      </c>
      <c r="P113" s="20">
        <v>8</v>
      </c>
      <c r="Q113" s="21" t="s">
        <v>588</v>
      </c>
      <c r="R113" s="20" t="s">
        <v>223</v>
      </c>
      <c r="S113" s="20" t="s">
        <v>148</v>
      </c>
      <c r="T113" s="20" t="s">
        <v>224</v>
      </c>
      <c r="U113" s="28"/>
    </row>
    <row r="114" s="3" customFormat="1" ht="180" customHeight="1" spans="1:21">
      <c r="A114" s="20">
        <f t="shared" si="13"/>
        <v>109</v>
      </c>
      <c r="B114" s="20" t="s">
        <v>13</v>
      </c>
      <c r="C114" s="20" t="s">
        <v>15</v>
      </c>
      <c r="D114" s="20" t="s">
        <v>17</v>
      </c>
      <c r="E114" s="20" t="s">
        <v>589</v>
      </c>
      <c r="F114" s="21" t="s">
        <v>590</v>
      </c>
      <c r="G114" s="20" t="s">
        <v>220</v>
      </c>
      <c r="H114" s="20" t="s">
        <v>232</v>
      </c>
      <c r="I114" s="23">
        <f t="shared" si="9"/>
        <v>156</v>
      </c>
      <c r="J114" s="23">
        <v>156</v>
      </c>
      <c r="K114" s="20">
        <v>0</v>
      </c>
      <c r="L114" s="20" t="s">
        <v>145</v>
      </c>
      <c r="M114" s="20">
        <v>1335</v>
      </c>
      <c r="N114" s="20">
        <v>3164</v>
      </c>
      <c r="O114" s="20">
        <v>31</v>
      </c>
      <c r="P114" s="20">
        <v>45</v>
      </c>
      <c r="Q114" s="21" t="s">
        <v>591</v>
      </c>
      <c r="R114" s="20" t="s">
        <v>223</v>
      </c>
      <c r="S114" s="20" t="s">
        <v>148</v>
      </c>
      <c r="T114" s="20" t="s">
        <v>240</v>
      </c>
      <c r="U114" s="28"/>
    </row>
    <row r="115" s="3" customFormat="1" ht="188.25" customHeight="1" spans="1:21">
      <c r="A115" s="20">
        <f t="shared" si="13"/>
        <v>110</v>
      </c>
      <c r="B115" s="20" t="s">
        <v>13</v>
      </c>
      <c r="C115" s="20" t="s">
        <v>15</v>
      </c>
      <c r="D115" s="20" t="s">
        <v>17</v>
      </c>
      <c r="E115" s="20" t="s">
        <v>592</v>
      </c>
      <c r="F115" s="21" t="s">
        <v>593</v>
      </c>
      <c r="G115" s="20" t="s">
        <v>220</v>
      </c>
      <c r="H115" s="20" t="s">
        <v>232</v>
      </c>
      <c r="I115" s="23">
        <f t="shared" si="9"/>
        <v>180</v>
      </c>
      <c r="J115" s="23">
        <v>180</v>
      </c>
      <c r="K115" s="20">
        <v>0</v>
      </c>
      <c r="L115" s="20" t="s">
        <v>145</v>
      </c>
      <c r="M115" s="20">
        <v>1335</v>
      </c>
      <c r="N115" s="20">
        <v>3164</v>
      </c>
      <c r="O115" s="20">
        <v>31</v>
      </c>
      <c r="P115" s="20">
        <v>45</v>
      </c>
      <c r="Q115" s="21" t="s">
        <v>594</v>
      </c>
      <c r="R115" s="20" t="s">
        <v>223</v>
      </c>
      <c r="S115" s="20" t="s">
        <v>148</v>
      </c>
      <c r="T115" s="20" t="s">
        <v>585</v>
      </c>
      <c r="U115" s="28"/>
    </row>
    <row r="116" s="3" customFormat="1" ht="121" customHeight="1" spans="1:21">
      <c r="A116" s="20">
        <f t="shared" si="13"/>
        <v>111</v>
      </c>
      <c r="B116" s="20" t="s">
        <v>13</v>
      </c>
      <c r="C116" s="20" t="s">
        <v>15</v>
      </c>
      <c r="D116" s="20" t="s">
        <v>17</v>
      </c>
      <c r="E116" s="20" t="s">
        <v>595</v>
      </c>
      <c r="F116" s="21" t="s">
        <v>596</v>
      </c>
      <c r="G116" s="20" t="s">
        <v>272</v>
      </c>
      <c r="H116" s="20" t="s">
        <v>597</v>
      </c>
      <c r="I116" s="23">
        <f t="shared" si="9"/>
        <v>129.3</v>
      </c>
      <c r="J116" s="23">
        <v>129.3</v>
      </c>
      <c r="K116" s="20">
        <v>0</v>
      </c>
      <c r="L116" s="20" t="s">
        <v>145</v>
      </c>
      <c r="M116" s="20">
        <v>514</v>
      </c>
      <c r="N116" s="20">
        <v>1342</v>
      </c>
      <c r="O116" s="20">
        <v>19</v>
      </c>
      <c r="P116" s="20">
        <v>40</v>
      </c>
      <c r="Q116" s="21" t="s">
        <v>598</v>
      </c>
      <c r="R116" s="20" t="s">
        <v>275</v>
      </c>
      <c r="S116" s="20" t="s">
        <v>148</v>
      </c>
      <c r="T116" s="20" t="s">
        <v>599</v>
      </c>
      <c r="U116" s="28"/>
    </row>
    <row r="117" s="3" customFormat="1" ht="107" customHeight="1" spans="1:21">
      <c r="A117" s="20">
        <f t="shared" si="13"/>
        <v>112</v>
      </c>
      <c r="B117" s="20" t="s">
        <v>13</v>
      </c>
      <c r="C117" s="20" t="s">
        <v>15</v>
      </c>
      <c r="D117" s="20" t="s">
        <v>17</v>
      </c>
      <c r="E117" s="20" t="s">
        <v>600</v>
      </c>
      <c r="F117" s="21" t="s">
        <v>601</v>
      </c>
      <c r="G117" s="20" t="s">
        <v>272</v>
      </c>
      <c r="H117" s="20" t="s">
        <v>602</v>
      </c>
      <c r="I117" s="23">
        <f t="shared" si="9"/>
        <v>11.85</v>
      </c>
      <c r="J117" s="23">
        <v>11.85</v>
      </c>
      <c r="K117" s="20">
        <v>0</v>
      </c>
      <c r="L117" s="20" t="s">
        <v>145</v>
      </c>
      <c r="M117" s="20">
        <v>53</v>
      </c>
      <c r="N117" s="20">
        <v>178</v>
      </c>
      <c r="O117" s="20">
        <v>8</v>
      </c>
      <c r="P117" s="20">
        <v>15</v>
      </c>
      <c r="Q117" s="21" t="s">
        <v>603</v>
      </c>
      <c r="R117" s="20" t="s">
        <v>275</v>
      </c>
      <c r="S117" s="20" t="s">
        <v>148</v>
      </c>
      <c r="T117" s="20" t="s">
        <v>276</v>
      </c>
      <c r="U117" s="28"/>
    </row>
    <row r="118" s="3" customFormat="1" ht="103" customHeight="1" spans="1:21">
      <c r="A118" s="20">
        <f t="shared" si="13"/>
        <v>113</v>
      </c>
      <c r="B118" s="20" t="s">
        <v>13</v>
      </c>
      <c r="C118" s="20" t="s">
        <v>15</v>
      </c>
      <c r="D118" s="20" t="s">
        <v>17</v>
      </c>
      <c r="E118" s="20" t="s">
        <v>604</v>
      </c>
      <c r="F118" s="21" t="s">
        <v>605</v>
      </c>
      <c r="G118" s="20" t="s">
        <v>279</v>
      </c>
      <c r="H118" s="20" t="s">
        <v>606</v>
      </c>
      <c r="I118" s="23">
        <f t="shared" si="9"/>
        <v>10.2</v>
      </c>
      <c r="J118" s="23">
        <v>10.2</v>
      </c>
      <c r="K118" s="20"/>
      <c r="L118" s="20" t="s">
        <v>145</v>
      </c>
      <c r="M118" s="20">
        <v>320</v>
      </c>
      <c r="N118" s="20">
        <v>790</v>
      </c>
      <c r="O118" s="20">
        <v>12</v>
      </c>
      <c r="P118" s="20">
        <v>23</v>
      </c>
      <c r="Q118" s="21" t="s">
        <v>607</v>
      </c>
      <c r="R118" s="20" t="s">
        <v>282</v>
      </c>
      <c r="S118" s="20" t="s">
        <v>148</v>
      </c>
      <c r="T118" s="20" t="s">
        <v>608</v>
      </c>
      <c r="U118" s="20"/>
    </row>
    <row r="119" s="3" customFormat="1" ht="93" customHeight="1" spans="1:21">
      <c r="A119" s="20">
        <f t="shared" si="13"/>
        <v>114</v>
      </c>
      <c r="B119" s="20" t="s">
        <v>13</v>
      </c>
      <c r="C119" s="20" t="s">
        <v>15</v>
      </c>
      <c r="D119" s="20" t="s">
        <v>17</v>
      </c>
      <c r="E119" s="20" t="s">
        <v>609</v>
      </c>
      <c r="F119" s="21" t="s">
        <v>610</v>
      </c>
      <c r="G119" s="20" t="s">
        <v>185</v>
      </c>
      <c r="H119" s="20" t="s">
        <v>290</v>
      </c>
      <c r="I119" s="23">
        <f t="shared" si="9"/>
        <v>45</v>
      </c>
      <c r="J119" s="29">
        <v>45</v>
      </c>
      <c r="K119" s="28"/>
      <c r="L119" s="20" t="s">
        <v>145</v>
      </c>
      <c r="M119" s="28">
        <v>301</v>
      </c>
      <c r="N119" s="28">
        <v>818</v>
      </c>
      <c r="O119" s="28">
        <v>23</v>
      </c>
      <c r="P119" s="28">
        <v>45</v>
      </c>
      <c r="Q119" s="21" t="s">
        <v>611</v>
      </c>
      <c r="R119" s="20" t="s">
        <v>188</v>
      </c>
      <c r="S119" s="20" t="s">
        <v>148</v>
      </c>
      <c r="T119" s="20" t="s">
        <v>189</v>
      </c>
      <c r="U119" s="28"/>
    </row>
    <row r="120" s="4" customFormat="1" ht="139" customHeight="1" spans="1:21">
      <c r="A120" s="20">
        <f t="shared" ref="A120:A125" si="14">ROW()-5</f>
        <v>115</v>
      </c>
      <c r="B120" s="20" t="s">
        <v>13</v>
      </c>
      <c r="C120" s="20" t="s">
        <v>15</v>
      </c>
      <c r="D120" s="20" t="s">
        <v>17</v>
      </c>
      <c r="E120" s="20" t="s">
        <v>612</v>
      </c>
      <c r="F120" s="21" t="s">
        <v>613</v>
      </c>
      <c r="G120" s="20" t="s">
        <v>164</v>
      </c>
      <c r="H120" s="20" t="s">
        <v>339</v>
      </c>
      <c r="I120" s="23">
        <f t="shared" si="9"/>
        <v>151</v>
      </c>
      <c r="J120" s="29">
        <v>151</v>
      </c>
      <c r="K120" s="28"/>
      <c r="L120" s="20" t="s">
        <v>145</v>
      </c>
      <c r="M120" s="28">
        <v>40</v>
      </c>
      <c r="N120" s="28">
        <v>110</v>
      </c>
      <c r="O120" s="28">
        <v>1</v>
      </c>
      <c r="P120" s="28">
        <v>3</v>
      </c>
      <c r="Q120" s="21" t="s">
        <v>614</v>
      </c>
      <c r="R120" s="20" t="s">
        <v>167</v>
      </c>
      <c r="S120" s="20" t="s">
        <v>148</v>
      </c>
      <c r="T120" s="20" t="s">
        <v>347</v>
      </c>
      <c r="U120" s="20"/>
    </row>
    <row r="121" s="3" customFormat="1" ht="86" customHeight="1" spans="1:21">
      <c r="A121" s="20">
        <f t="shared" si="14"/>
        <v>116</v>
      </c>
      <c r="B121" s="20" t="s">
        <v>13</v>
      </c>
      <c r="C121" s="20" t="s">
        <v>15</v>
      </c>
      <c r="D121" s="20" t="s">
        <v>17</v>
      </c>
      <c r="E121" s="20" t="s">
        <v>615</v>
      </c>
      <c r="F121" s="21" t="s">
        <v>616</v>
      </c>
      <c r="G121" s="20" t="s">
        <v>185</v>
      </c>
      <c r="H121" s="20" t="s">
        <v>514</v>
      </c>
      <c r="I121" s="23">
        <f t="shared" si="9"/>
        <v>70</v>
      </c>
      <c r="J121" s="29">
        <v>70</v>
      </c>
      <c r="K121" s="28"/>
      <c r="L121" s="20" t="s">
        <v>145</v>
      </c>
      <c r="M121" s="28">
        <v>178</v>
      </c>
      <c r="N121" s="28">
        <v>600</v>
      </c>
      <c r="O121" s="28">
        <v>0</v>
      </c>
      <c r="P121" s="28">
        <v>0</v>
      </c>
      <c r="Q121" s="21" t="s">
        <v>617</v>
      </c>
      <c r="R121" s="20" t="s">
        <v>188</v>
      </c>
      <c r="S121" s="20" t="s">
        <v>148</v>
      </c>
      <c r="T121" s="20" t="s">
        <v>189</v>
      </c>
      <c r="U121" s="28"/>
    </row>
    <row r="122" ht="148" customHeight="1" spans="1:21">
      <c r="A122" s="20">
        <f t="shared" si="14"/>
        <v>117</v>
      </c>
      <c r="B122" s="20" t="s">
        <v>13</v>
      </c>
      <c r="C122" s="20" t="s">
        <v>15</v>
      </c>
      <c r="D122" s="20" t="s">
        <v>17</v>
      </c>
      <c r="E122" s="20" t="s">
        <v>618</v>
      </c>
      <c r="F122" s="21" t="s">
        <v>619</v>
      </c>
      <c r="G122" s="20" t="s">
        <v>370</v>
      </c>
      <c r="H122" s="20" t="s">
        <v>479</v>
      </c>
      <c r="I122" s="23">
        <f t="shared" si="9"/>
        <v>74</v>
      </c>
      <c r="J122" s="23">
        <v>74</v>
      </c>
      <c r="K122" s="20"/>
      <c r="L122" s="21" t="s">
        <v>145</v>
      </c>
      <c r="M122" s="20">
        <v>449</v>
      </c>
      <c r="N122" s="20">
        <v>1146</v>
      </c>
      <c r="O122" s="20">
        <v>55</v>
      </c>
      <c r="P122" s="20">
        <v>119</v>
      </c>
      <c r="Q122" s="21" t="s">
        <v>620</v>
      </c>
      <c r="R122" s="20" t="s">
        <v>373</v>
      </c>
      <c r="S122" s="20" t="s">
        <v>148</v>
      </c>
      <c r="T122" s="20" t="s">
        <v>451</v>
      </c>
      <c r="U122" s="20"/>
    </row>
    <row r="123" ht="226.2" spans="1:21">
      <c r="A123" s="20">
        <f t="shared" si="14"/>
        <v>118</v>
      </c>
      <c r="B123" s="20" t="s">
        <v>13</v>
      </c>
      <c r="C123" s="20" t="s">
        <v>15</v>
      </c>
      <c r="D123" s="20" t="s">
        <v>17</v>
      </c>
      <c r="E123" s="20" t="s">
        <v>621</v>
      </c>
      <c r="F123" s="21" t="s">
        <v>622</v>
      </c>
      <c r="G123" s="20" t="s">
        <v>370</v>
      </c>
      <c r="H123" s="20" t="s">
        <v>487</v>
      </c>
      <c r="I123" s="23">
        <f t="shared" si="9"/>
        <v>54</v>
      </c>
      <c r="J123" s="23">
        <v>54</v>
      </c>
      <c r="K123" s="20"/>
      <c r="L123" s="20" t="s">
        <v>145</v>
      </c>
      <c r="M123" s="20">
        <v>567</v>
      </c>
      <c r="N123" s="20">
        <v>1418</v>
      </c>
      <c r="O123" s="20">
        <v>51</v>
      </c>
      <c r="P123" s="20">
        <v>109</v>
      </c>
      <c r="Q123" s="21" t="s">
        <v>623</v>
      </c>
      <c r="R123" s="20" t="s">
        <v>373</v>
      </c>
      <c r="S123" s="20" t="s">
        <v>148</v>
      </c>
      <c r="T123" s="20" t="s">
        <v>451</v>
      </c>
      <c r="U123" s="20"/>
    </row>
    <row r="124" ht="128" customHeight="1" spans="1:21">
      <c r="A124" s="20">
        <f t="shared" si="14"/>
        <v>119</v>
      </c>
      <c r="B124" s="20" t="s">
        <v>13</v>
      </c>
      <c r="C124" s="20" t="s">
        <v>15</v>
      </c>
      <c r="D124" s="20" t="s">
        <v>17</v>
      </c>
      <c r="E124" s="20" t="s">
        <v>624</v>
      </c>
      <c r="F124" s="21" t="s">
        <v>625</v>
      </c>
      <c r="G124" s="20" t="s">
        <v>343</v>
      </c>
      <c r="H124" s="20" t="s">
        <v>626</v>
      </c>
      <c r="I124" s="23">
        <f t="shared" si="9"/>
        <v>105</v>
      </c>
      <c r="J124" s="23">
        <v>105</v>
      </c>
      <c r="K124" s="28"/>
      <c r="L124" s="20" t="s">
        <v>145</v>
      </c>
      <c r="M124" s="20">
        <v>27</v>
      </c>
      <c r="N124" s="20">
        <v>75</v>
      </c>
      <c r="O124" s="20">
        <v>0</v>
      </c>
      <c r="P124" s="28">
        <v>0</v>
      </c>
      <c r="Q124" s="21" t="s">
        <v>627</v>
      </c>
      <c r="R124" s="20" t="s">
        <v>346</v>
      </c>
      <c r="S124" s="20" t="s">
        <v>148</v>
      </c>
      <c r="T124" s="20" t="s">
        <v>570</v>
      </c>
      <c r="U124" s="20"/>
    </row>
    <row r="125" ht="102" customHeight="1" spans="1:21">
      <c r="A125" s="20">
        <f t="shared" si="14"/>
        <v>120</v>
      </c>
      <c r="B125" s="22" t="s">
        <v>13</v>
      </c>
      <c r="C125" s="20" t="s">
        <v>15</v>
      </c>
      <c r="D125" s="20" t="s">
        <v>17</v>
      </c>
      <c r="E125" s="22" t="s">
        <v>628</v>
      </c>
      <c r="F125" s="25" t="s">
        <v>629</v>
      </c>
      <c r="G125" s="22" t="s">
        <v>143</v>
      </c>
      <c r="H125" s="22" t="s">
        <v>630</v>
      </c>
      <c r="I125" s="23">
        <f t="shared" si="9"/>
        <v>12</v>
      </c>
      <c r="J125" s="30">
        <v>12</v>
      </c>
      <c r="K125" s="20"/>
      <c r="L125" s="22" t="s">
        <v>145</v>
      </c>
      <c r="M125" s="22">
        <v>34</v>
      </c>
      <c r="N125" s="22">
        <v>94</v>
      </c>
      <c r="O125" s="22">
        <v>0</v>
      </c>
      <c r="P125" s="22">
        <v>0</v>
      </c>
      <c r="Q125" s="25" t="s">
        <v>631</v>
      </c>
      <c r="R125" s="20" t="s">
        <v>147</v>
      </c>
      <c r="S125" s="20" t="s">
        <v>148</v>
      </c>
      <c r="T125" s="20" t="s">
        <v>382</v>
      </c>
      <c r="U125" s="20"/>
    </row>
    <row r="126" ht="238" customHeight="1" spans="1:21">
      <c r="A126" s="20">
        <f t="shared" ref="A126:A137" si="15">ROW()-5</f>
        <v>121</v>
      </c>
      <c r="B126" s="20" t="s">
        <v>13</v>
      </c>
      <c r="C126" s="20" t="s">
        <v>15</v>
      </c>
      <c r="D126" s="20" t="s">
        <v>17</v>
      </c>
      <c r="E126" s="20" t="s">
        <v>632</v>
      </c>
      <c r="F126" s="21" t="s">
        <v>633</v>
      </c>
      <c r="G126" s="20" t="s">
        <v>370</v>
      </c>
      <c r="H126" s="20" t="s">
        <v>552</v>
      </c>
      <c r="I126" s="23">
        <f t="shared" si="9"/>
        <v>198</v>
      </c>
      <c r="J126" s="23">
        <v>198</v>
      </c>
      <c r="K126" s="20"/>
      <c r="L126" s="20" t="s">
        <v>145</v>
      </c>
      <c r="M126" s="20">
        <v>47</v>
      </c>
      <c r="N126" s="20">
        <v>180</v>
      </c>
      <c r="O126" s="20">
        <v>2</v>
      </c>
      <c r="P126" s="20">
        <v>4</v>
      </c>
      <c r="Q126" s="21" t="s">
        <v>634</v>
      </c>
      <c r="R126" s="20" t="s">
        <v>373</v>
      </c>
      <c r="S126" s="20" t="s">
        <v>148</v>
      </c>
      <c r="T126" s="20" t="s">
        <v>451</v>
      </c>
      <c r="U126" s="20"/>
    </row>
    <row r="127" ht="121.8" spans="1:21">
      <c r="A127" s="20">
        <f t="shared" si="15"/>
        <v>122</v>
      </c>
      <c r="B127" s="21" t="s">
        <v>13</v>
      </c>
      <c r="C127" s="20" t="s">
        <v>15</v>
      </c>
      <c r="D127" s="20" t="s">
        <v>17</v>
      </c>
      <c r="E127" s="20" t="s">
        <v>635</v>
      </c>
      <c r="F127" s="21" t="s">
        <v>636</v>
      </c>
      <c r="G127" s="20" t="s">
        <v>370</v>
      </c>
      <c r="H127" s="20" t="s">
        <v>371</v>
      </c>
      <c r="I127" s="23">
        <f t="shared" si="9"/>
        <v>91.794</v>
      </c>
      <c r="J127" s="23">
        <v>91.794</v>
      </c>
      <c r="K127" s="21"/>
      <c r="L127" s="21" t="s">
        <v>145</v>
      </c>
      <c r="M127" s="20">
        <v>617</v>
      </c>
      <c r="N127" s="20">
        <v>1498</v>
      </c>
      <c r="O127" s="20">
        <v>52</v>
      </c>
      <c r="P127" s="20">
        <v>85</v>
      </c>
      <c r="Q127" s="21" t="s">
        <v>637</v>
      </c>
      <c r="R127" s="21" t="s">
        <v>373</v>
      </c>
      <c r="S127" s="21" t="s">
        <v>148</v>
      </c>
      <c r="T127" s="21" t="s">
        <v>451</v>
      </c>
      <c r="U127" s="20"/>
    </row>
    <row r="128" ht="121.8" spans="1:21">
      <c r="A128" s="20">
        <f t="shared" si="15"/>
        <v>123</v>
      </c>
      <c r="B128" s="20" t="s">
        <v>13</v>
      </c>
      <c r="C128" s="20" t="s">
        <v>15</v>
      </c>
      <c r="D128" s="20" t="s">
        <v>17</v>
      </c>
      <c r="E128" s="20" t="s">
        <v>638</v>
      </c>
      <c r="F128" s="21" t="s">
        <v>639</v>
      </c>
      <c r="G128" s="20" t="s">
        <v>370</v>
      </c>
      <c r="H128" s="20" t="s">
        <v>371</v>
      </c>
      <c r="I128" s="23">
        <f t="shared" si="9"/>
        <v>210</v>
      </c>
      <c r="J128" s="23">
        <v>210</v>
      </c>
      <c r="K128" s="20"/>
      <c r="L128" s="20" t="s">
        <v>145</v>
      </c>
      <c r="M128" s="20">
        <v>617</v>
      </c>
      <c r="N128" s="20">
        <v>1498</v>
      </c>
      <c r="O128" s="20">
        <v>52</v>
      </c>
      <c r="P128" s="20">
        <v>85</v>
      </c>
      <c r="Q128" s="21" t="s">
        <v>640</v>
      </c>
      <c r="R128" s="20" t="s">
        <v>373</v>
      </c>
      <c r="S128" s="20" t="s">
        <v>148</v>
      </c>
      <c r="T128" s="20" t="s">
        <v>451</v>
      </c>
      <c r="U128" s="20"/>
    </row>
    <row r="129" ht="133" customHeight="1" spans="1:21">
      <c r="A129" s="20">
        <f t="shared" si="15"/>
        <v>124</v>
      </c>
      <c r="B129" s="20" t="s">
        <v>13</v>
      </c>
      <c r="C129" s="20" t="s">
        <v>15</v>
      </c>
      <c r="D129" s="20" t="s">
        <v>17</v>
      </c>
      <c r="E129" s="20" t="s">
        <v>641</v>
      </c>
      <c r="F129" s="21" t="s">
        <v>642</v>
      </c>
      <c r="G129" s="20" t="s">
        <v>370</v>
      </c>
      <c r="H129" s="20" t="s">
        <v>371</v>
      </c>
      <c r="I129" s="23">
        <f t="shared" si="9"/>
        <v>50</v>
      </c>
      <c r="J129" s="23">
        <v>50</v>
      </c>
      <c r="K129" s="20"/>
      <c r="L129" s="20" t="s">
        <v>145</v>
      </c>
      <c r="M129" s="20">
        <v>617</v>
      </c>
      <c r="N129" s="20">
        <v>1498</v>
      </c>
      <c r="O129" s="20">
        <v>52</v>
      </c>
      <c r="P129" s="20">
        <v>85</v>
      </c>
      <c r="Q129" s="21" t="s">
        <v>643</v>
      </c>
      <c r="R129" s="20" t="s">
        <v>373</v>
      </c>
      <c r="S129" s="20" t="s">
        <v>148</v>
      </c>
      <c r="T129" s="20" t="s">
        <v>451</v>
      </c>
      <c r="U129" s="20"/>
    </row>
    <row r="130" ht="191.4" spans="1:21">
      <c r="A130" s="20">
        <f t="shared" si="15"/>
        <v>125</v>
      </c>
      <c r="B130" s="20" t="s">
        <v>13</v>
      </c>
      <c r="C130" s="20" t="s">
        <v>15</v>
      </c>
      <c r="D130" s="20" t="s">
        <v>17</v>
      </c>
      <c r="E130" s="20" t="s">
        <v>644</v>
      </c>
      <c r="F130" s="21" t="s">
        <v>645</v>
      </c>
      <c r="G130" s="20" t="s">
        <v>370</v>
      </c>
      <c r="H130" s="20" t="s">
        <v>646</v>
      </c>
      <c r="I130" s="23">
        <f t="shared" si="9"/>
        <v>85</v>
      </c>
      <c r="J130" s="23">
        <v>85</v>
      </c>
      <c r="K130" s="20"/>
      <c r="L130" s="20" t="s">
        <v>145</v>
      </c>
      <c r="M130" s="20">
        <v>509</v>
      </c>
      <c r="N130" s="20">
        <v>1258</v>
      </c>
      <c r="O130" s="20">
        <v>34</v>
      </c>
      <c r="P130" s="20">
        <v>70</v>
      </c>
      <c r="Q130" s="21" t="s">
        <v>647</v>
      </c>
      <c r="R130" s="20" t="s">
        <v>373</v>
      </c>
      <c r="S130" s="20" t="s">
        <v>148</v>
      </c>
      <c r="T130" s="20" t="s">
        <v>451</v>
      </c>
      <c r="U130" s="20"/>
    </row>
    <row r="131" ht="129" customHeight="1" spans="1:21">
      <c r="A131" s="20">
        <f t="shared" si="15"/>
        <v>126</v>
      </c>
      <c r="B131" s="20" t="s">
        <v>13</v>
      </c>
      <c r="C131" s="20" t="s">
        <v>15</v>
      </c>
      <c r="D131" s="20" t="s">
        <v>17</v>
      </c>
      <c r="E131" s="20" t="s">
        <v>648</v>
      </c>
      <c r="F131" s="21" t="s">
        <v>649</v>
      </c>
      <c r="G131" s="20" t="s">
        <v>272</v>
      </c>
      <c r="H131" s="20" t="s">
        <v>650</v>
      </c>
      <c r="I131" s="23">
        <f t="shared" si="9"/>
        <v>129</v>
      </c>
      <c r="J131" s="23">
        <v>129</v>
      </c>
      <c r="K131" s="20">
        <v>0</v>
      </c>
      <c r="L131" s="20" t="s">
        <v>145</v>
      </c>
      <c r="M131" s="20">
        <v>402</v>
      </c>
      <c r="N131" s="20">
        <v>1022</v>
      </c>
      <c r="O131" s="20">
        <v>22</v>
      </c>
      <c r="P131" s="20">
        <v>38</v>
      </c>
      <c r="Q131" s="21" t="s">
        <v>651</v>
      </c>
      <c r="R131" s="20" t="s">
        <v>275</v>
      </c>
      <c r="S131" s="20" t="s">
        <v>148</v>
      </c>
      <c r="T131" s="20" t="s">
        <v>652</v>
      </c>
      <c r="U131" s="20"/>
    </row>
    <row r="132" ht="97" customHeight="1" spans="1:21">
      <c r="A132" s="20">
        <f t="shared" si="15"/>
        <v>127</v>
      </c>
      <c r="B132" s="20" t="s">
        <v>13</v>
      </c>
      <c r="C132" s="20" t="s">
        <v>15</v>
      </c>
      <c r="D132" s="20" t="s">
        <v>17</v>
      </c>
      <c r="E132" s="20" t="s">
        <v>653</v>
      </c>
      <c r="F132" s="21" t="s">
        <v>654</v>
      </c>
      <c r="G132" s="20" t="s">
        <v>185</v>
      </c>
      <c r="H132" s="20" t="s">
        <v>421</v>
      </c>
      <c r="I132" s="23">
        <f t="shared" si="9"/>
        <v>20</v>
      </c>
      <c r="J132" s="29">
        <v>20</v>
      </c>
      <c r="K132" s="28"/>
      <c r="L132" s="20" t="s">
        <v>145</v>
      </c>
      <c r="M132" s="28">
        <v>403</v>
      </c>
      <c r="N132" s="28">
        <v>1039</v>
      </c>
      <c r="O132" s="28">
        <v>13</v>
      </c>
      <c r="P132" s="28">
        <v>26</v>
      </c>
      <c r="Q132" s="21" t="s">
        <v>655</v>
      </c>
      <c r="R132" s="20" t="s">
        <v>188</v>
      </c>
      <c r="S132" s="20" t="s">
        <v>148</v>
      </c>
      <c r="T132" s="20" t="s">
        <v>189</v>
      </c>
      <c r="U132" s="20"/>
    </row>
    <row r="133" ht="81" customHeight="1" spans="1:21">
      <c r="A133" s="20">
        <f t="shared" si="15"/>
        <v>128</v>
      </c>
      <c r="B133" s="20" t="s">
        <v>13</v>
      </c>
      <c r="C133" s="20" t="s">
        <v>15</v>
      </c>
      <c r="D133" s="20" t="s">
        <v>17</v>
      </c>
      <c r="E133" s="20" t="s">
        <v>656</v>
      </c>
      <c r="F133" s="21" t="s">
        <v>657</v>
      </c>
      <c r="G133" s="20" t="s">
        <v>185</v>
      </c>
      <c r="H133" s="20" t="s">
        <v>421</v>
      </c>
      <c r="I133" s="23">
        <f t="shared" si="9"/>
        <v>8</v>
      </c>
      <c r="J133" s="29">
        <v>8</v>
      </c>
      <c r="K133" s="28"/>
      <c r="L133" s="20" t="s">
        <v>145</v>
      </c>
      <c r="M133" s="28">
        <v>403</v>
      </c>
      <c r="N133" s="28">
        <v>1039</v>
      </c>
      <c r="O133" s="28">
        <v>13</v>
      </c>
      <c r="P133" s="28">
        <v>26</v>
      </c>
      <c r="Q133" s="21" t="s">
        <v>658</v>
      </c>
      <c r="R133" s="20" t="s">
        <v>188</v>
      </c>
      <c r="S133" s="20" t="s">
        <v>148</v>
      </c>
      <c r="T133" s="20" t="s">
        <v>189</v>
      </c>
      <c r="U133" s="20"/>
    </row>
    <row r="134" ht="82" customHeight="1" spans="1:21">
      <c r="A134" s="20">
        <f t="shared" si="15"/>
        <v>129</v>
      </c>
      <c r="B134" s="20" t="s">
        <v>13</v>
      </c>
      <c r="C134" s="20" t="s">
        <v>15</v>
      </c>
      <c r="D134" s="20" t="s">
        <v>17</v>
      </c>
      <c r="E134" s="20" t="s">
        <v>659</v>
      </c>
      <c r="F134" s="21" t="s">
        <v>660</v>
      </c>
      <c r="G134" s="20" t="s">
        <v>185</v>
      </c>
      <c r="H134" s="20" t="s">
        <v>286</v>
      </c>
      <c r="I134" s="23">
        <f t="shared" si="9"/>
        <v>27.5</v>
      </c>
      <c r="J134" s="23">
        <v>27.5</v>
      </c>
      <c r="K134" s="20"/>
      <c r="L134" s="20" t="s">
        <v>145</v>
      </c>
      <c r="M134" s="20">
        <v>369</v>
      </c>
      <c r="N134" s="20">
        <v>1023</v>
      </c>
      <c r="O134" s="20">
        <v>16</v>
      </c>
      <c r="P134" s="20">
        <v>26</v>
      </c>
      <c r="Q134" s="21" t="s">
        <v>661</v>
      </c>
      <c r="R134" s="20" t="s">
        <v>188</v>
      </c>
      <c r="S134" s="20" t="s">
        <v>148</v>
      </c>
      <c r="T134" s="20" t="s">
        <v>189</v>
      </c>
      <c r="U134" s="20"/>
    </row>
    <row r="135" ht="142" customHeight="1" spans="1:21">
      <c r="A135" s="20">
        <f t="shared" si="15"/>
        <v>130</v>
      </c>
      <c r="B135" s="33" t="s">
        <v>13</v>
      </c>
      <c r="C135" s="20" t="s">
        <v>15</v>
      </c>
      <c r="D135" s="20" t="s">
        <v>17</v>
      </c>
      <c r="E135" s="33" t="s">
        <v>662</v>
      </c>
      <c r="F135" s="34" t="s">
        <v>663</v>
      </c>
      <c r="G135" s="33" t="s">
        <v>279</v>
      </c>
      <c r="H135" s="33" t="s">
        <v>544</v>
      </c>
      <c r="I135" s="23">
        <f t="shared" ref="I135:I198" si="16">J135+K135</f>
        <v>110</v>
      </c>
      <c r="J135" s="36">
        <v>110</v>
      </c>
      <c r="K135" s="33"/>
      <c r="L135" s="33" t="s">
        <v>145</v>
      </c>
      <c r="M135" s="33">
        <v>444</v>
      </c>
      <c r="N135" s="33">
        <v>1088</v>
      </c>
      <c r="O135" s="33">
        <v>11</v>
      </c>
      <c r="P135" s="33">
        <v>20</v>
      </c>
      <c r="Q135" s="34" t="s">
        <v>664</v>
      </c>
      <c r="R135" s="33" t="s">
        <v>148</v>
      </c>
      <c r="S135" s="33" t="s">
        <v>148</v>
      </c>
      <c r="T135" s="33" t="s">
        <v>392</v>
      </c>
      <c r="U135" s="20"/>
    </row>
    <row r="136" ht="130" customHeight="1" spans="1:21">
      <c r="A136" s="20">
        <f t="shared" si="15"/>
        <v>131</v>
      </c>
      <c r="B136" s="33" t="s">
        <v>13</v>
      </c>
      <c r="C136" s="20" t="s">
        <v>15</v>
      </c>
      <c r="D136" s="20" t="s">
        <v>17</v>
      </c>
      <c r="E136" s="33" t="s">
        <v>665</v>
      </c>
      <c r="F136" s="34" t="s">
        <v>666</v>
      </c>
      <c r="G136" s="33" t="s">
        <v>279</v>
      </c>
      <c r="H136" s="33" t="s">
        <v>544</v>
      </c>
      <c r="I136" s="23">
        <f t="shared" si="16"/>
        <v>38</v>
      </c>
      <c r="J136" s="36">
        <v>38</v>
      </c>
      <c r="K136" s="33"/>
      <c r="L136" s="33" t="s">
        <v>145</v>
      </c>
      <c r="M136" s="33">
        <v>444</v>
      </c>
      <c r="N136" s="33">
        <v>1088</v>
      </c>
      <c r="O136" s="33">
        <v>11</v>
      </c>
      <c r="P136" s="33">
        <v>20</v>
      </c>
      <c r="Q136" s="34" t="s">
        <v>667</v>
      </c>
      <c r="R136" s="33" t="s">
        <v>148</v>
      </c>
      <c r="S136" s="33" t="s">
        <v>148</v>
      </c>
      <c r="T136" s="33" t="s">
        <v>668</v>
      </c>
      <c r="U136" s="20"/>
    </row>
    <row r="137" s="3" customFormat="1" ht="98" customHeight="1" spans="1:21">
      <c r="A137" s="20">
        <f t="shared" si="15"/>
        <v>132</v>
      </c>
      <c r="B137" s="20" t="s">
        <v>13</v>
      </c>
      <c r="C137" s="20" t="s">
        <v>15</v>
      </c>
      <c r="D137" s="20" t="s">
        <v>17</v>
      </c>
      <c r="E137" s="20" t="s">
        <v>669</v>
      </c>
      <c r="F137" s="21" t="s">
        <v>670</v>
      </c>
      <c r="G137" s="20" t="s">
        <v>143</v>
      </c>
      <c r="H137" s="22" t="s">
        <v>671</v>
      </c>
      <c r="I137" s="23">
        <f t="shared" si="16"/>
        <v>100</v>
      </c>
      <c r="J137" s="23">
        <v>100</v>
      </c>
      <c r="K137" s="20"/>
      <c r="L137" s="20" t="s">
        <v>145</v>
      </c>
      <c r="M137" s="20">
        <v>473</v>
      </c>
      <c r="N137" s="20">
        <v>1394</v>
      </c>
      <c r="O137" s="20">
        <v>9</v>
      </c>
      <c r="P137" s="22">
        <v>16</v>
      </c>
      <c r="Q137" s="21" t="s">
        <v>672</v>
      </c>
      <c r="R137" s="20" t="s">
        <v>147</v>
      </c>
      <c r="S137" s="20" t="s">
        <v>148</v>
      </c>
      <c r="T137" s="20" t="s">
        <v>149</v>
      </c>
      <c r="U137" s="20"/>
    </row>
    <row r="138" s="3" customFormat="1" ht="160" customHeight="1" spans="1:21">
      <c r="A138" s="20">
        <f t="shared" ref="A138:A145" si="17">ROW()-5</f>
        <v>133</v>
      </c>
      <c r="B138" s="20" t="s">
        <v>13</v>
      </c>
      <c r="C138" s="20" t="s">
        <v>15</v>
      </c>
      <c r="D138" s="20" t="s">
        <v>18</v>
      </c>
      <c r="E138" s="20" t="s">
        <v>673</v>
      </c>
      <c r="F138" s="21" t="s">
        <v>674</v>
      </c>
      <c r="G138" s="20" t="s">
        <v>198</v>
      </c>
      <c r="H138" s="20" t="s">
        <v>675</v>
      </c>
      <c r="I138" s="23">
        <f t="shared" si="16"/>
        <v>10.6</v>
      </c>
      <c r="J138" s="23">
        <v>10.6</v>
      </c>
      <c r="K138" s="20"/>
      <c r="L138" s="20" t="s">
        <v>145</v>
      </c>
      <c r="M138" s="20">
        <v>21</v>
      </c>
      <c r="N138" s="20">
        <v>58</v>
      </c>
      <c r="O138" s="20">
        <v>21</v>
      </c>
      <c r="P138" s="20">
        <v>58</v>
      </c>
      <c r="Q138" s="21" t="s">
        <v>676</v>
      </c>
      <c r="R138" s="20" t="s">
        <v>201</v>
      </c>
      <c r="S138" s="20" t="s">
        <v>148</v>
      </c>
      <c r="T138" s="20" t="s">
        <v>202</v>
      </c>
      <c r="U138" s="28"/>
    </row>
    <row r="139" s="3" customFormat="1" ht="120" customHeight="1" spans="1:21">
      <c r="A139" s="20">
        <f t="shared" si="17"/>
        <v>134</v>
      </c>
      <c r="B139" s="20" t="s">
        <v>13</v>
      </c>
      <c r="C139" s="20" t="s">
        <v>15</v>
      </c>
      <c r="D139" s="20" t="s">
        <v>18</v>
      </c>
      <c r="E139" s="20" t="s">
        <v>677</v>
      </c>
      <c r="F139" s="21" t="s">
        <v>678</v>
      </c>
      <c r="G139" s="20" t="s">
        <v>370</v>
      </c>
      <c r="H139" s="20" t="s">
        <v>679</v>
      </c>
      <c r="I139" s="23">
        <f t="shared" si="16"/>
        <v>116.9</v>
      </c>
      <c r="J139" s="23">
        <v>116.9</v>
      </c>
      <c r="K139" s="20">
        <v>0</v>
      </c>
      <c r="L139" s="20" t="s">
        <v>145</v>
      </c>
      <c r="M139" s="20">
        <v>120</v>
      </c>
      <c r="N139" s="20">
        <v>282</v>
      </c>
      <c r="O139" s="20">
        <v>120</v>
      </c>
      <c r="P139" s="20">
        <v>282</v>
      </c>
      <c r="Q139" s="21" t="s">
        <v>680</v>
      </c>
      <c r="R139" s="20" t="s">
        <v>373</v>
      </c>
      <c r="S139" s="20" t="s">
        <v>148</v>
      </c>
      <c r="T139" s="20" t="s">
        <v>283</v>
      </c>
      <c r="U139" s="20"/>
    </row>
    <row r="140" s="3" customFormat="1" ht="86" customHeight="1" spans="1:21">
      <c r="A140" s="20">
        <f t="shared" si="17"/>
        <v>135</v>
      </c>
      <c r="B140" s="20" t="s">
        <v>13</v>
      </c>
      <c r="C140" s="20" t="s">
        <v>15</v>
      </c>
      <c r="D140" s="20" t="s">
        <v>18</v>
      </c>
      <c r="E140" s="20" t="s">
        <v>681</v>
      </c>
      <c r="F140" s="21" t="s">
        <v>682</v>
      </c>
      <c r="G140" s="20" t="s">
        <v>220</v>
      </c>
      <c r="H140" s="20" t="s">
        <v>249</v>
      </c>
      <c r="I140" s="23">
        <f t="shared" si="16"/>
        <v>4</v>
      </c>
      <c r="J140" s="23">
        <v>4</v>
      </c>
      <c r="K140" s="20">
        <v>0</v>
      </c>
      <c r="L140" s="20" t="s">
        <v>145</v>
      </c>
      <c r="M140" s="20">
        <v>4</v>
      </c>
      <c r="N140" s="20">
        <v>7</v>
      </c>
      <c r="O140" s="20">
        <v>4</v>
      </c>
      <c r="P140" s="20">
        <v>7</v>
      </c>
      <c r="Q140" s="21" t="s">
        <v>683</v>
      </c>
      <c r="R140" s="20" t="s">
        <v>223</v>
      </c>
      <c r="S140" s="20" t="s">
        <v>148</v>
      </c>
      <c r="T140" s="20" t="s">
        <v>240</v>
      </c>
      <c r="U140" s="28"/>
    </row>
    <row r="141" s="3" customFormat="1" ht="86" customHeight="1" spans="1:21">
      <c r="A141" s="20">
        <f t="shared" si="17"/>
        <v>136</v>
      </c>
      <c r="B141" s="20" t="s">
        <v>13</v>
      </c>
      <c r="C141" s="20" t="s">
        <v>15</v>
      </c>
      <c r="D141" s="20" t="s">
        <v>18</v>
      </c>
      <c r="E141" s="20" t="s">
        <v>684</v>
      </c>
      <c r="F141" s="21" t="s">
        <v>685</v>
      </c>
      <c r="G141" s="20" t="s">
        <v>272</v>
      </c>
      <c r="H141" s="20" t="s">
        <v>186</v>
      </c>
      <c r="I141" s="23">
        <f t="shared" si="16"/>
        <v>20.3</v>
      </c>
      <c r="J141" s="23">
        <v>20.3</v>
      </c>
      <c r="K141" s="20">
        <v>0</v>
      </c>
      <c r="L141" s="20" t="s">
        <v>145</v>
      </c>
      <c r="M141" s="20">
        <v>21</v>
      </c>
      <c r="N141" s="20">
        <v>58</v>
      </c>
      <c r="O141" s="20">
        <v>21</v>
      </c>
      <c r="P141" s="20">
        <v>58</v>
      </c>
      <c r="Q141" s="21" t="s">
        <v>686</v>
      </c>
      <c r="R141" s="20" t="s">
        <v>275</v>
      </c>
      <c r="S141" s="20" t="s">
        <v>148</v>
      </c>
      <c r="T141" s="20" t="s">
        <v>276</v>
      </c>
      <c r="U141" s="28"/>
    </row>
    <row r="142" s="3" customFormat="1" ht="106" customHeight="1" spans="1:21">
      <c r="A142" s="20">
        <f t="shared" si="17"/>
        <v>137</v>
      </c>
      <c r="B142" s="20" t="s">
        <v>13</v>
      </c>
      <c r="C142" s="20" t="s">
        <v>15</v>
      </c>
      <c r="D142" s="20" t="s">
        <v>18</v>
      </c>
      <c r="E142" s="20" t="s">
        <v>687</v>
      </c>
      <c r="F142" s="21" t="s">
        <v>688</v>
      </c>
      <c r="G142" s="20" t="s">
        <v>279</v>
      </c>
      <c r="H142" s="20" t="s">
        <v>172</v>
      </c>
      <c r="I142" s="23">
        <f t="shared" si="16"/>
        <v>11.24</v>
      </c>
      <c r="J142" s="23">
        <v>11.24</v>
      </c>
      <c r="K142" s="20"/>
      <c r="L142" s="20" t="s">
        <v>145</v>
      </c>
      <c r="M142" s="20">
        <v>19</v>
      </c>
      <c r="N142" s="20">
        <v>33</v>
      </c>
      <c r="O142" s="20">
        <v>19</v>
      </c>
      <c r="P142" s="20">
        <v>33</v>
      </c>
      <c r="Q142" s="21" t="s">
        <v>689</v>
      </c>
      <c r="R142" s="20" t="s">
        <v>282</v>
      </c>
      <c r="S142" s="20" t="s">
        <v>148</v>
      </c>
      <c r="T142" s="20" t="s">
        <v>608</v>
      </c>
      <c r="U142" s="20"/>
    </row>
    <row r="143" s="3" customFormat="1" ht="84" customHeight="1" spans="1:21">
      <c r="A143" s="20">
        <f t="shared" si="17"/>
        <v>138</v>
      </c>
      <c r="B143" s="20" t="s">
        <v>13</v>
      </c>
      <c r="C143" s="20" t="s">
        <v>15</v>
      </c>
      <c r="D143" s="20" t="s">
        <v>18</v>
      </c>
      <c r="E143" s="20" t="s">
        <v>690</v>
      </c>
      <c r="F143" s="21" t="s">
        <v>691</v>
      </c>
      <c r="G143" s="20" t="s">
        <v>692</v>
      </c>
      <c r="H143" s="20" t="s">
        <v>186</v>
      </c>
      <c r="I143" s="23">
        <f t="shared" si="16"/>
        <v>2.87</v>
      </c>
      <c r="J143" s="29">
        <v>2.87</v>
      </c>
      <c r="K143" s="28">
        <v>0</v>
      </c>
      <c r="L143" s="28" t="s">
        <v>145</v>
      </c>
      <c r="M143" s="28">
        <v>3</v>
      </c>
      <c r="N143" s="28">
        <v>6</v>
      </c>
      <c r="O143" s="28">
        <v>3</v>
      </c>
      <c r="P143" s="28">
        <v>6</v>
      </c>
      <c r="Q143" s="21" t="s">
        <v>693</v>
      </c>
      <c r="R143" s="20" t="s">
        <v>694</v>
      </c>
      <c r="S143" s="20" t="s">
        <v>148</v>
      </c>
      <c r="T143" s="20" t="s">
        <v>320</v>
      </c>
      <c r="U143" s="20"/>
    </row>
    <row r="144" s="3" customFormat="1" ht="134.4" customHeight="1" spans="1:21">
      <c r="A144" s="20">
        <f t="shared" si="17"/>
        <v>139</v>
      </c>
      <c r="B144" s="20" t="s">
        <v>13</v>
      </c>
      <c r="C144" s="20" t="s">
        <v>15</v>
      </c>
      <c r="D144" s="20" t="s">
        <v>18</v>
      </c>
      <c r="E144" s="20" t="s">
        <v>695</v>
      </c>
      <c r="F144" s="21" t="s">
        <v>696</v>
      </c>
      <c r="G144" s="20" t="s">
        <v>279</v>
      </c>
      <c r="H144" s="20" t="s">
        <v>518</v>
      </c>
      <c r="I144" s="23">
        <f t="shared" si="16"/>
        <v>50</v>
      </c>
      <c r="J144" s="23">
        <v>50</v>
      </c>
      <c r="K144" s="20"/>
      <c r="L144" s="20" t="s">
        <v>145</v>
      </c>
      <c r="M144" s="20">
        <v>287</v>
      </c>
      <c r="N144" s="20">
        <v>936</v>
      </c>
      <c r="O144" s="20">
        <v>17</v>
      </c>
      <c r="P144" s="20">
        <v>46</v>
      </c>
      <c r="Q144" s="21" t="s">
        <v>697</v>
      </c>
      <c r="R144" s="20" t="s">
        <v>282</v>
      </c>
      <c r="S144" s="20" t="s">
        <v>148</v>
      </c>
      <c r="T144" s="20" t="s">
        <v>698</v>
      </c>
      <c r="U144" s="28"/>
    </row>
    <row r="145" ht="74" customHeight="1" spans="1:21">
      <c r="A145" s="20">
        <f t="shared" si="17"/>
        <v>140</v>
      </c>
      <c r="B145" s="20" t="s">
        <v>13</v>
      </c>
      <c r="C145" s="20" t="s">
        <v>15</v>
      </c>
      <c r="D145" s="20" t="s">
        <v>18</v>
      </c>
      <c r="E145" s="20" t="s">
        <v>699</v>
      </c>
      <c r="F145" s="21" t="s">
        <v>700</v>
      </c>
      <c r="G145" s="20" t="s">
        <v>279</v>
      </c>
      <c r="H145" s="20" t="s">
        <v>518</v>
      </c>
      <c r="I145" s="23">
        <f t="shared" si="16"/>
        <v>1</v>
      </c>
      <c r="J145" s="23">
        <v>1</v>
      </c>
      <c r="K145" s="20"/>
      <c r="L145" s="20" t="s">
        <v>145</v>
      </c>
      <c r="M145" s="20">
        <v>1</v>
      </c>
      <c r="N145" s="20">
        <v>3</v>
      </c>
      <c r="O145" s="20">
        <v>1</v>
      </c>
      <c r="P145" s="20">
        <v>3</v>
      </c>
      <c r="Q145" s="21" t="s">
        <v>701</v>
      </c>
      <c r="R145" s="20" t="s">
        <v>282</v>
      </c>
      <c r="S145" s="20" t="s">
        <v>148</v>
      </c>
      <c r="T145" s="20" t="s">
        <v>392</v>
      </c>
      <c r="U145" s="20"/>
    </row>
    <row r="146" ht="152" customHeight="1" spans="1:21">
      <c r="A146" s="20">
        <f t="shared" ref="A146:A155" si="18">ROW()-5</f>
        <v>141</v>
      </c>
      <c r="B146" s="20" t="s">
        <v>13</v>
      </c>
      <c r="C146" s="20" t="s">
        <v>15</v>
      </c>
      <c r="D146" s="20" t="s">
        <v>18</v>
      </c>
      <c r="E146" s="20" t="s">
        <v>702</v>
      </c>
      <c r="F146" s="21" t="s">
        <v>703</v>
      </c>
      <c r="G146" s="20" t="s">
        <v>279</v>
      </c>
      <c r="H146" s="20" t="s">
        <v>518</v>
      </c>
      <c r="I146" s="23">
        <f t="shared" si="16"/>
        <v>40</v>
      </c>
      <c r="J146" s="23">
        <v>40</v>
      </c>
      <c r="K146" s="20"/>
      <c r="L146" s="20" t="s">
        <v>145</v>
      </c>
      <c r="M146" s="20">
        <v>287</v>
      </c>
      <c r="N146" s="20">
        <v>936</v>
      </c>
      <c r="O146" s="20">
        <v>17</v>
      </c>
      <c r="P146" s="20">
        <v>46</v>
      </c>
      <c r="Q146" s="21" t="s">
        <v>704</v>
      </c>
      <c r="R146" s="20" t="s">
        <v>282</v>
      </c>
      <c r="S146" s="20" t="s">
        <v>148</v>
      </c>
      <c r="T146" s="20" t="s">
        <v>392</v>
      </c>
      <c r="U146" s="20"/>
    </row>
    <row r="147" ht="112" customHeight="1" spans="1:21">
      <c r="A147" s="20">
        <f t="shared" si="18"/>
        <v>142</v>
      </c>
      <c r="B147" s="20" t="s">
        <v>13</v>
      </c>
      <c r="C147" s="20" t="s">
        <v>15</v>
      </c>
      <c r="D147" s="20" t="s">
        <v>18</v>
      </c>
      <c r="E147" s="20" t="s">
        <v>705</v>
      </c>
      <c r="F147" s="21" t="s">
        <v>706</v>
      </c>
      <c r="G147" s="20" t="s">
        <v>185</v>
      </c>
      <c r="H147" s="20" t="s">
        <v>421</v>
      </c>
      <c r="I147" s="23">
        <f t="shared" si="16"/>
        <v>15</v>
      </c>
      <c r="J147" s="29">
        <v>15</v>
      </c>
      <c r="K147" s="28"/>
      <c r="L147" s="20" t="s">
        <v>145</v>
      </c>
      <c r="M147" s="28">
        <v>403</v>
      </c>
      <c r="N147" s="28">
        <v>1039</v>
      </c>
      <c r="O147" s="28">
        <v>13</v>
      </c>
      <c r="P147" s="28">
        <v>26</v>
      </c>
      <c r="Q147" s="21" t="s">
        <v>707</v>
      </c>
      <c r="R147" s="20" t="s">
        <v>188</v>
      </c>
      <c r="S147" s="20" t="s">
        <v>148</v>
      </c>
      <c r="T147" s="20" t="s">
        <v>189</v>
      </c>
      <c r="U147" s="20"/>
    </row>
    <row r="148" ht="82" customHeight="1" spans="1:21">
      <c r="A148" s="20">
        <f t="shared" si="18"/>
        <v>143</v>
      </c>
      <c r="B148" s="20" t="s">
        <v>13</v>
      </c>
      <c r="C148" s="20" t="s">
        <v>15</v>
      </c>
      <c r="D148" s="20" t="s">
        <v>18</v>
      </c>
      <c r="E148" s="20" t="s">
        <v>708</v>
      </c>
      <c r="F148" s="21" t="s">
        <v>709</v>
      </c>
      <c r="G148" s="20" t="s">
        <v>185</v>
      </c>
      <c r="H148" s="20" t="s">
        <v>186</v>
      </c>
      <c r="I148" s="23">
        <f t="shared" si="16"/>
        <v>25.42</v>
      </c>
      <c r="J148" s="23">
        <v>25.42</v>
      </c>
      <c r="K148" s="20"/>
      <c r="L148" s="20" t="s">
        <v>145</v>
      </c>
      <c r="M148" s="20">
        <v>45</v>
      </c>
      <c r="N148" s="20">
        <v>101</v>
      </c>
      <c r="O148" s="20">
        <v>45</v>
      </c>
      <c r="P148" s="20">
        <v>101</v>
      </c>
      <c r="Q148" s="21" t="s">
        <v>710</v>
      </c>
      <c r="R148" s="20" t="s">
        <v>188</v>
      </c>
      <c r="S148" s="20" t="s">
        <v>148</v>
      </c>
      <c r="T148" s="20" t="s">
        <v>189</v>
      </c>
      <c r="U148" s="20"/>
    </row>
    <row r="149" s="3" customFormat="1" ht="87" customHeight="1" spans="1:21">
      <c r="A149" s="20">
        <f t="shared" si="18"/>
        <v>144</v>
      </c>
      <c r="B149" s="20" t="s">
        <v>13</v>
      </c>
      <c r="C149" s="20" t="s">
        <v>15</v>
      </c>
      <c r="D149" s="20" t="s">
        <v>19</v>
      </c>
      <c r="E149" s="20" t="s">
        <v>711</v>
      </c>
      <c r="F149" s="21" t="s">
        <v>712</v>
      </c>
      <c r="G149" s="20" t="s">
        <v>279</v>
      </c>
      <c r="H149" s="20" t="s">
        <v>713</v>
      </c>
      <c r="I149" s="23">
        <f t="shared" si="16"/>
        <v>20</v>
      </c>
      <c r="J149" s="23">
        <v>20</v>
      </c>
      <c r="K149" s="20"/>
      <c r="L149" s="20" t="s">
        <v>145</v>
      </c>
      <c r="M149" s="20">
        <v>595</v>
      </c>
      <c r="N149" s="20">
        <v>1460</v>
      </c>
      <c r="O149" s="20">
        <v>14</v>
      </c>
      <c r="P149" s="20">
        <v>20</v>
      </c>
      <c r="Q149" s="21" t="s">
        <v>714</v>
      </c>
      <c r="R149" s="20" t="s">
        <v>282</v>
      </c>
      <c r="S149" s="20" t="s">
        <v>148</v>
      </c>
      <c r="T149" s="20" t="s">
        <v>698</v>
      </c>
      <c r="U149" s="20"/>
    </row>
    <row r="150" s="3" customFormat="1" ht="104" customHeight="1" spans="1:21">
      <c r="A150" s="20">
        <f t="shared" si="18"/>
        <v>145</v>
      </c>
      <c r="B150" s="20" t="s">
        <v>13</v>
      </c>
      <c r="C150" s="20" t="s">
        <v>15</v>
      </c>
      <c r="D150" s="20" t="s">
        <v>19</v>
      </c>
      <c r="E150" s="20" t="s">
        <v>715</v>
      </c>
      <c r="F150" s="21" t="s">
        <v>716</v>
      </c>
      <c r="G150" s="20" t="s">
        <v>279</v>
      </c>
      <c r="H150" s="20" t="s">
        <v>280</v>
      </c>
      <c r="I150" s="23">
        <f t="shared" si="16"/>
        <v>29.47</v>
      </c>
      <c r="J150" s="23">
        <v>29.47</v>
      </c>
      <c r="K150" s="20"/>
      <c r="L150" s="20" t="s">
        <v>145</v>
      </c>
      <c r="M150" s="20">
        <v>453</v>
      </c>
      <c r="N150" s="20">
        <v>1120</v>
      </c>
      <c r="O150" s="20">
        <v>15</v>
      </c>
      <c r="P150" s="20">
        <v>34</v>
      </c>
      <c r="Q150" s="21" t="s">
        <v>717</v>
      </c>
      <c r="R150" s="20" t="s">
        <v>282</v>
      </c>
      <c r="S150" s="20" t="s">
        <v>148</v>
      </c>
      <c r="T150" s="20" t="s">
        <v>608</v>
      </c>
      <c r="U150" s="20"/>
    </row>
    <row r="151" s="3" customFormat="1" ht="120" customHeight="1" spans="1:21">
      <c r="A151" s="20">
        <f t="shared" si="18"/>
        <v>146</v>
      </c>
      <c r="B151" s="20" t="s">
        <v>13</v>
      </c>
      <c r="C151" s="20" t="s">
        <v>15</v>
      </c>
      <c r="D151" s="20" t="s">
        <v>21</v>
      </c>
      <c r="E151" s="20" t="s">
        <v>718</v>
      </c>
      <c r="F151" s="21" t="s">
        <v>719</v>
      </c>
      <c r="G151" s="20" t="s">
        <v>279</v>
      </c>
      <c r="H151" s="20" t="s">
        <v>518</v>
      </c>
      <c r="I151" s="23">
        <f t="shared" si="16"/>
        <v>95</v>
      </c>
      <c r="J151" s="23">
        <v>95</v>
      </c>
      <c r="K151" s="20"/>
      <c r="L151" s="20" t="s">
        <v>145</v>
      </c>
      <c r="M151" s="20">
        <v>287</v>
      </c>
      <c r="N151" s="20">
        <v>936</v>
      </c>
      <c r="O151" s="20">
        <v>17</v>
      </c>
      <c r="P151" s="20">
        <v>46</v>
      </c>
      <c r="Q151" s="21" t="s">
        <v>720</v>
      </c>
      <c r="R151" s="20" t="s">
        <v>282</v>
      </c>
      <c r="S151" s="20" t="s">
        <v>148</v>
      </c>
      <c r="T151" s="20" t="s">
        <v>698</v>
      </c>
      <c r="U151" s="28"/>
    </row>
    <row r="152" ht="138" customHeight="1" spans="1:21">
      <c r="A152" s="20">
        <f t="shared" si="18"/>
        <v>147</v>
      </c>
      <c r="B152" s="20" t="s">
        <v>13</v>
      </c>
      <c r="C152" s="20" t="s">
        <v>15</v>
      </c>
      <c r="D152" s="20" t="s">
        <v>21</v>
      </c>
      <c r="E152" s="20" t="s">
        <v>721</v>
      </c>
      <c r="F152" s="21" t="s">
        <v>722</v>
      </c>
      <c r="G152" s="20" t="s">
        <v>279</v>
      </c>
      <c r="H152" s="20" t="s">
        <v>723</v>
      </c>
      <c r="I152" s="23">
        <f t="shared" si="16"/>
        <v>40</v>
      </c>
      <c r="J152" s="23">
        <v>40</v>
      </c>
      <c r="K152" s="20"/>
      <c r="L152" s="20" t="s">
        <v>145</v>
      </c>
      <c r="M152" s="20">
        <v>372</v>
      </c>
      <c r="N152" s="20">
        <v>927</v>
      </c>
      <c r="O152" s="20">
        <v>24</v>
      </c>
      <c r="P152" s="20">
        <v>50</v>
      </c>
      <c r="Q152" s="21" t="s">
        <v>724</v>
      </c>
      <c r="R152" s="20" t="s">
        <v>282</v>
      </c>
      <c r="S152" s="20" t="s">
        <v>148</v>
      </c>
      <c r="T152" s="20" t="s">
        <v>387</v>
      </c>
      <c r="U152" s="20"/>
    </row>
    <row r="153" s="3" customFormat="1" ht="120" customHeight="1" spans="1:21">
      <c r="A153" s="20">
        <f t="shared" si="18"/>
        <v>148</v>
      </c>
      <c r="B153" s="20" t="s">
        <v>13</v>
      </c>
      <c r="C153" s="22" t="s">
        <v>23</v>
      </c>
      <c r="D153" s="22" t="s">
        <v>24</v>
      </c>
      <c r="E153" s="20" t="s">
        <v>725</v>
      </c>
      <c r="F153" s="21" t="s">
        <v>726</v>
      </c>
      <c r="G153" s="20" t="s">
        <v>143</v>
      </c>
      <c r="H153" s="22" t="s">
        <v>671</v>
      </c>
      <c r="I153" s="23">
        <f t="shared" si="16"/>
        <v>75</v>
      </c>
      <c r="J153" s="23">
        <v>75</v>
      </c>
      <c r="K153" s="20"/>
      <c r="L153" s="20" t="s">
        <v>145</v>
      </c>
      <c r="M153" s="20">
        <v>473</v>
      </c>
      <c r="N153" s="20">
        <v>1394</v>
      </c>
      <c r="O153" s="20">
        <v>9</v>
      </c>
      <c r="P153" s="22">
        <v>16</v>
      </c>
      <c r="Q153" s="21" t="s">
        <v>727</v>
      </c>
      <c r="R153" s="20" t="s">
        <v>147</v>
      </c>
      <c r="S153" s="20" t="s">
        <v>148</v>
      </c>
      <c r="T153" s="20" t="s">
        <v>149</v>
      </c>
      <c r="U153" s="20"/>
    </row>
    <row r="154" s="3" customFormat="1" ht="99" customHeight="1" spans="1:21">
      <c r="A154" s="20">
        <f t="shared" si="18"/>
        <v>149</v>
      </c>
      <c r="B154" s="20" t="s">
        <v>13</v>
      </c>
      <c r="C154" s="20" t="s">
        <v>23</v>
      </c>
      <c r="D154" s="20" t="s">
        <v>24</v>
      </c>
      <c r="E154" s="20" t="s">
        <v>728</v>
      </c>
      <c r="F154" s="21" t="s">
        <v>729</v>
      </c>
      <c r="G154" s="20" t="s">
        <v>185</v>
      </c>
      <c r="H154" s="20" t="s">
        <v>497</v>
      </c>
      <c r="I154" s="23">
        <f t="shared" si="16"/>
        <v>60</v>
      </c>
      <c r="J154" s="23">
        <v>60</v>
      </c>
      <c r="K154" s="20"/>
      <c r="L154" s="20" t="s">
        <v>145</v>
      </c>
      <c r="M154" s="20">
        <v>354</v>
      </c>
      <c r="N154" s="20">
        <v>962</v>
      </c>
      <c r="O154" s="20">
        <v>12</v>
      </c>
      <c r="P154" s="20">
        <v>18</v>
      </c>
      <c r="Q154" s="21" t="s">
        <v>730</v>
      </c>
      <c r="R154" s="20" t="s">
        <v>188</v>
      </c>
      <c r="S154" s="20" t="s">
        <v>148</v>
      </c>
      <c r="T154" s="20" t="s">
        <v>189</v>
      </c>
      <c r="U154" s="20"/>
    </row>
    <row r="155" s="4" customFormat="1" ht="106" customHeight="1" spans="1:21">
      <c r="A155" s="20">
        <f t="shared" si="18"/>
        <v>150</v>
      </c>
      <c r="B155" s="22" t="s">
        <v>13</v>
      </c>
      <c r="C155" s="22" t="s">
        <v>23</v>
      </c>
      <c r="D155" s="22" t="s">
        <v>24</v>
      </c>
      <c r="E155" s="22" t="s">
        <v>731</v>
      </c>
      <c r="F155" s="21" t="s">
        <v>732</v>
      </c>
      <c r="G155" s="22" t="s">
        <v>279</v>
      </c>
      <c r="H155" s="22" t="s">
        <v>733</v>
      </c>
      <c r="I155" s="23">
        <f t="shared" si="16"/>
        <v>13</v>
      </c>
      <c r="J155" s="30">
        <v>13</v>
      </c>
      <c r="K155" s="22"/>
      <c r="L155" s="22" t="s">
        <v>145</v>
      </c>
      <c r="M155" s="22">
        <v>379</v>
      </c>
      <c r="N155" s="22">
        <v>1019</v>
      </c>
      <c r="O155" s="22">
        <v>17</v>
      </c>
      <c r="P155" s="22">
        <v>30</v>
      </c>
      <c r="Q155" s="25" t="s">
        <v>734</v>
      </c>
      <c r="R155" s="22" t="s">
        <v>282</v>
      </c>
      <c r="S155" s="20" t="s">
        <v>148</v>
      </c>
      <c r="T155" s="20" t="s">
        <v>347</v>
      </c>
      <c r="U155" s="20"/>
    </row>
    <row r="156" s="3" customFormat="1" ht="189" customHeight="1" spans="1:21">
      <c r="A156" s="20">
        <f t="shared" ref="A156:A165" si="19">ROW()-5</f>
        <v>151</v>
      </c>
      <c r="B156" s="20" t="s">
        <v>13</v>
      </c>
      <c r="C156" s="22" t="s">
        <v>23</v>
      </c>
      <c r="D156" s="22" t="s">
        <v>25</v>
      </c>
      <c r="E156" s="20" t="s">
        <v>735</v>
      </c>
      <c r="F156" s="21" t="s">
        <v>736</v>
      </c>
      <c r="G156" s="20" t="s">
        <v>143</v>
      </c>
      <c r="H156" s="22" t="s">
        <v>671</v>
      </c>
      <c r="I156" s="23">
        <f t="shared" si="16"/>
        <v>165</v>
      </c>
      <c r="J156" s="23">
        <v>165</v>
      </c>
      <c r="K156" s="20"/>
      <c r="L156" s="20" t="s">
        <v>145</v>
      </c>
      <c r="M156" s="20">
        <v>473</v>
      </c>
      <c r="N156" s="20">
        <v>1394</v>
      </c>
      <c r="O156" s="20">
        <v>9</v>
      </c>
      <c r="P156" s="22">
        <v>16</v>
      </c>
      <c r="Q156" s="21" t="s">
        <v>737</v>
      </c>
      <c r="R156" s="20" t="s">
        <v>147</v>
      </c>
      <c r="S156" s="20" t="s">
        <v>148</v>
      </c>
      <c r="T156" s="20" t="s">
        <v>149</v>
      </c>
      <c r="U156" s="20"/>
    </row>
    <row r="157" s="3" customFormat="1" ht="166" customHeight="1" spans="1:21">
      <c r="A157" s="20">
        <f t="shared" si="19"/>
        <v>152</v>
      </c>
      <c r="B157" s="20" t="s">
        <v>13</v>
      </c>
      <c r="C157" s="20" t="s">
        <v>23</v>
      </c>
      <c r="D157" s="20" t="s">
        <v>25</v>
      </c>
      <c r="E157" s="20" t="s">
        <v>738</v>
      </c>
      <c r="F157" s="21" t="s">
        <v>739</v>
      </c>
      <c r="G157" s="20" t="s">
        <v>152</v>
      </c>
      <c r="H157" s="20" t="s">
        <v>159</v>
      </c>
      <c r="I157" s="23">
        <f t="shared" si="16"/>
        <v>130</v>
      </c>
      <c r="J157" s="23">
        <v>130</v>
      </c>
      <c r="K157" s="20"/>
      <c r="L157" s="20" t="s">
        <v>145</v>
      </c>
      <c r="M157" s="20">
        <v>4479</v>
      </c>
      <c r="N157" s="20">
        <v>12162</v>
      </c>
      <c r="O157" s="20">
        <v>192</v>
      </c>
      <c r="P157" s="20">
        <v>410</v>
      </c>
      <c r="Q157" s="21" t="s">
        <v>740</v>
      </c>
      <c r="R157" s="20" t="s">
        <v>155</v>
      </c>
      <c r="S157" s="20" t="s">
        <v>148</v>
      </c>
      <c r="T157" s="20" t="s">
        <v>156</v>
      </c>
      <c r="U157" s="20"/>
    </row>
    <row r="158" s="3" customFormat="1" ht="154" customHeight="1" spans="1:21">
      <c r="A158" s="20">
        <f t="shared" si="19"/>
        <v>153</v>
      </c>
      <c r="B158" s="20" t="s">
        <v>13</v>
      </c>
      <c r="C158" s="20" t="s">
        <v>23</v>
      </c>
      <c r="D158" s="20" t="s">
        <v>25</v>
      </c>
      <c r="E158" s="20" t="s">
        <v>741</v>
      </c>
      <c r="F158" s="21" t="s">
        <v>742</v>
      </c>
      <c r="G158" s="20" t="s">
        <v>152</v>
      </c>
      <c r="H158" s="20" t="s">
        <v>743</v>
      </c>
      <c r="I158" s="23">
        <f t="shared" si="16"/>
        <v>80</v>
      </c>
      <c r="J158" s="23">
        <v>80</v>
      </c>
      <c r="K158" s="20"/>
      <c r="L158" s="20" t="s">
        <v>145</v>
      </c>
      <c r="M158" s="20">
        <v>4479</v>
      </c>
      <c r="N158" s="20">
        <v>12162</v>
      </c>
      <c r="O158" s="20">
        <v>192</v>
      </c>
      <c r="P158" s="20">
        <v>410</v>
      </c>
      <c r="Q158" s="21" t="s">
        <v>744</v>
      </c>
      <c r="R158" s="20" t="s">
        <v>155</v>
      </c>
      <c r="S158" s="20" t="s">
        <v>148</v>
      </c>
      <c r="T158" s="20" t="s">
        <v>156</v>
      </c>
      <c r="U158" s="20"/>
    </row>
    <row r="159" s="3" customFormat="1" ht="94" customHeight="1" spans="1:21">
      <c r="A159" s="20">
        <f t="shared" si="19"/>
        <v>154</v>
      </c>
      <c r="B159" s="20" t="s">
        <v>13</v>
      </c>
      <c r="C159" s="20" t="s">
        <v>23</v>
      </c>
      <c r="D159" s="20" t="s">
        <v>25</v>
      </c>
      <c r="E159" s="20" t="s">
        <v>745</v>
      </c>
      <c r="F159" s="21" t="s">
        <v>746</v>
      </c>
      <c r="G159" s="20" t="s">
        <v>185</v>
      </c>
      <c r="H159" s="20" t="s">
        <v>286</v>
      </c>
      <c r="I159" s="23">
        <f t="shared" si="16"/>
        <v>8</v>
      </c>
      <c r="J159" s="29">
        <v>8</v>
      </c>
      <c r="K159" s="28"/>
      <c r="L159" s="20" t="s">
        <v>145</v>
      </c>
      <c r="M159" s="28">
        <v>369</v>
      </c>
      <c r="N159" s="28">
        <v>1023</v>
      </c>
      <c r="O159" s="28">
        <v>16</v>
      </c>
      <c r="P159" s="28">
        <v>26</v>
      </c>
      <c r="Q159" s="21" t="s">
        <v>747</v>
      </c>
      <c r="R159" s="20" t="s">
        <v>188</v>
      </c>
      <c r="S159" s="20" t="s">
        <v>148</v>
      </c>
      <c r="T159" s="20" t="s">
        <v>189</v>
      </c>
      <c r="U159" s="28"/>
    </row>
    <row r="160" ht="409" customHeight="1" spans="1:21">
      <c r="A160" s="20">
        <f t="shared" si="19"/>
        <v>155</v>
      </c>
      <c r="B160" s="20" t="s">
        <v>13</v>
      </c>
      <c r="C160" s="20" t="s">
        <v>23</v>
      </c>
      <c r="D160" s="20" t="s">
        <v>25</v>
      </c>
      <c r="E160" s="20" t="s">
        <v>748</v>
      </c>
      <c r="F160" s="21" t="s">
        <v>749</v>
      </c>
      <c r="G160" s="20" t="s">
        <v>152</v>
      </c>
      <c r="H160" s="20" t="s">
        <v>576</v>
      </c>
      <c r="I160" s="23">
        <f t="shared" si="16"/>
        <v>350</v>
      </c>
      <c r="J160" s="23">
        <v>350</v>
      </c>
      <c r="K160" s="20"/>
      <c r="L160" s="20" t="s">
        <v>145</v>
      </c>
      <c r="M160" s="20">
        <v>4479</v>
      </c>
      <c r="N160" s="20">
        <v>12162</v>
      </c>
      <c r="O160" s="20">
        <v>192</v>
      </c>
      <c r="P160" s="20">
        <v>410</v>
      </c>
      <c r="Q160" s="21" t="s">
        <v>750</v>
      </c>
      <c r="R160" s="20" t="s">
        <v>155</v>
      </c>
      <c r="S160" s="20" t="s">
        <v>148</v>
      </c>
      <c r="T160" s="20" t="s">
        <v>156</v>
      </c>
      <c r="U160" s="33"/>
    </row>
    <row r="161" ht="86" customHeight="1" spans="1:21">
      <c r="A161" s="20">
        <f t="shared" si="19"/>
        <v>156</v>
      </c>
      <c r="B161" s="20" t="s">
        <v>13</v>
      </c>
      <c r="C161" s="20" t="s">
        <v>23</v>
      </c>
      <c r="D161" s="20" t="s">
        <v>25</v>
      </c>
      <c r="E161" s="20" t="s">
        <v>751</v>
      </c>
      <c r="F161" s="21" t="s">
        <v>752</v>
      </c>
      <c r="G161" s="20" t="s">
        <v>272</v>
      </c>
      <c r="H161" s="20" t="s">
        <v>444</v>
      </c>
      <c r="I161" s="23">
        <f t="shared" si="16"/>
        <v>14</v>
      </c>
      <c r="J161" s="23">
        <v>14</v>
      </c>
      <c r="K161" s="20">
        <v>0</v>
      </c>
      <c r="L161" s="20" t="s">
        <v>145</v>
      </c>
      <c r="M161" s="20">
        <v>596</v>
      </c>
      <c r="N161" s="20">
        <v>1495</v>
      </c>
      <c r="O161" s="20">
        <v>32</v>
      </c>
      <c r="P161" s="20">
        <v>61</v>
      </c>
      <c r="Q161" s="21" t="s">
        <v>753</v>
      </c>
      <c r="R161" s="20" t="s">
        <v>275</v>
      </c>
      <c r="S161" s="20" t="s">
        <v>148</v>
      </c>
      <c r="T161" s="20" t="s">
        <v>276</v>
      </c>
      <c r="U161" s="20"/>
    </row>
    <row r="162" ht="139.2" spans="1:21">
      <c r="A162" s="20">
        <f t="shared" si="19"/>
        <v>157</v>
      </c>
      <c r="B162" s="20" t="s">
        <v>13</v>
      </c>
      <c r="C162" s="20" t="s">
        <v>23</v>
      </c>
      <c r="D162" s="20" t="s">
        <v>25</v>
      </c>
      <c r="E162" s="20" t="s">
        <v>754</v>
      </c>
      <c r="F162" s="21" t="s">
        <v>755</v>
      </c>
      <c r="G162" s="20" t="s">
        <v>370</v>
      </c>
      <c r="H162" s="20" t="s">
        <v>646</v>
      </c>
      <c r="I162" s="23">
        <f t="shared" si="16"/>
        <v>14.75</v>
      </c>
      <c r="J162" s="23">
        <v>14.75</v>
      </c>
      <c r="K162" s="20"/>
      <c r="L162" s="21" t="s">
        <v>145</v>
      </c>
      <c r="M162" s="20">
        <v>509</v>
      </c>
      <c r="N162" s="20">
        <v>1258</v>
      </c>
      <c r="O162" s="20">
        <v>34</v>
      </c>
      <c r="P162" s="20">
        <v>70</v>
      </c>
      <c r="Q162" s="21" t="s">
        <v>756</v>
      </c>
      <c r="R162" s="20" t="s">
        <v>373</v>
      </c>
      <c r="S162" s="20" t="s">
        <v>148</v>
      </c>
      <c r="T162" s="20" t="s">
        <v>451</v>
      </c>
      <c r="U162" s="20"/>
    </row>
    <row r="163" ht="208.8" spans="1:21">
      <c r="A163" s="20">
        <f t="shared" si="19"/>
        <v>158</v>
      </c>
      <c r="B163" s="22" t="s">
        <v>13</v>
      </c>
      <c r="C163" s="22" t="s">
        <v>23</v>
      </c>
      <c r="D163" s="22" t="s">
        <v>25</v>
      </c>
      <c r="E163" s="22" t="s">
        <v>757</v>
      </c>
      <c r="F163" s="25" t="s">
        <v>758</v>
      </c>
      <c r="G163" s="22" t="s">
        <v>143</v>
      </c>
      <c r="H163" s="22" t="s">
        <v>630</v>
      </c>
      <c r="I163" s="23">
        <f t="shared" si="16"/>
        <v>238</v>
      </c>
      <c r="J163" s="30">
        <v>238</v>
      </c>
      <c r="K163" s="20"/>
      <c r="L163" s="22" t="s">
        <v>145</v>
      </c>
      <c r="M163" s="22">
        <v>556</v>
      </c>
      <c r="N163" s="22">
        <v>1642</v>
      </c>
      <c r="O163" s="22">
        <v>10</v>
      </c>
      <c r="P163" s="22">
        <v>18</v>
      </c>
      <c r="Q163" s="25" t="s">
        <v>759</v>
      </c>
      <c r="R163" s="20" t="s">
        <v>147</v>
      </c>
      <c r="S163" s="20" t="s">
        <v>148</v>
      </c>
      <c r="T163" s="20" t="s">
        <v>382</v>
      </c>
      <c r="U163" s="20"/>
    </row>
    <row r="164" ht="260" customHeight="1" spans="1:21">
      <c r="A164" s="20">
        <f t="shared" si="19"/>
        <v>159</v>
      </c>
      <c r="B164" s="20" t="s">
        <v>13</v>
      </c>
      <c r="C164" s="20" t="s">
        <v>23</v>
      </c>
      <c r="D164" s="20" t="s">
        <v>25</v>
      </c>
      <c r="E164" s="20" t="s">
        <v>760</v>
      </c>
      <c r="F164" s="21" t="s">
        <v>761</v>
      </c>
      <c r="G164" s="20" t="s">
        <v>220</v>
      </c>
      <c r="H164" s="20" t="s">
        <v>299</v>
      </c>
      <c r="I164" s="23">
        <f t="shared" si="16"/>
        <v>240</v>
      </c>
      <c r="J164" s="23">
        <v>240</v>
      </c>
      <c r="K164" s="20"/>
      <c r="L164" s="20" t="s">
        <v>145</v>
      </c>
      <c r="M164" s="20">
        <v>4042</v>
      </c>
      <c r="N164" s="20">
        <v>9970</v>
      </c>
      <c r="O164" s="20">
        <v>110</v>
      </c>
      <c r="P164" s="20">
        <v>156</v>
      </c>
      <c r="Q164" s="21" t="s">
        <v>762</v>
      </c>
      <c r="R164" s="20" t="s">
        <v>223</v>
      </c>
      <c r="S164" s="20" t="s">
        <v>148</v>
      </c>
      <c r="T164" s="20" t="s">
        <v>763</v>
      </c>
      <c r="U164" s="20"/>
    </row>
    <row r="165" ht="126" customHeight="1" spans="1:21">
      <c r="A165" s="20">
        <f t="shared" si="19"/>
        <v>160</v>
      </c>
      <c r="B165" s="20" t="s">
        <v>13</v>
      </c>
      <c r="C165" s="20" t="s">
        <v>23</v>
      </c>
      <c r="D165" s="20" t="s">
        <v>25</v>
      </c>
      <c r="E165" s="20" t="s">
        <v>764</v>
      </c>
      <c r="F165" s="21" t="s">
        <v>765</v>
      </c>
      <c r="G165" s="20" t="s">
        <v>178</v>
      </c>
      <c r="H165" s="20" t="s">
        <v>433</v>
      </c>
      <c r="I165" s="23">
        <f t="shared" si="16"/>
        <v>26.5</v>
      </c>
      <c r="J165" s="23">
        <v>26.5</v>
      </c>
      <c r="K165" s="28"/>
      <c r="L165" s="20" t="s">
        <v>145</v>
      </c>
      <c r="M165" s="20">
        <v>3842</v>
      </c>
      <c r="N165" s="20">
        <v>10430</v>
      </c>
      <c r="O165" s="20">
        <v>288</v>
      </c>
      <c r="P165" s="20">
        <v>622</v>
      </c>
      <c r="Q165" s="21" t="s">
        <v>766</v>
      </c>
      <c r="R165" s="20" t="s">
        <v>181</v>
      </c>
      <c r="S165" s="20" t="s">
        <v>148</v>
      </c>
      <c r="T165" s="20" t="s">
        <v>396</v>
      </c>
      <c r="U165" s="20"/>
    </row>
    <row r="166" ht="82" customHeight="1" spans="1:21">
      <c r="A166" s="20">
        <f t="shared" ref="A166:A180" si="20">ROW()-5</f>
        <v>161</v>
      </c>
      <c r="B166" s="20" t="s">
        <v>13</v>
      </c>
      <c r="C166" s="20" t="s">
        <v>23</v>
      </c>
      <c r="D166" s="20" t="s">
        <v>25</v>
      </c>
      <c r="E166" s="20" t="s">
        <v>767</v>
      </c>
      <c r="F166" s="21" t="s">
        <v>768</v>
      </c>
      <c r="G166" s="20" t="s">
        <v>185</v>
      </c>
      <c r="H166" s="20" t="s">
        <v>421</v>
      </c>
      <c r="I166" s="23">
        <f t="shared" si="16"/>
        <v>10</v>
      </c>
      <c r="J166" s="29">
        <v>10</v>
      </c>
      <c r="K166" s="28"/>
      <c r="L166" s="20" t="s">
        <v>145</v>
      </c>
      <c r="M166" s="28">
        <v>403</v>
      </c>
      <c r="N166" s="28">
        <v>1039</v>
      </c>
      <c r="O166" s="28">
        <v>13</v>
      </c>
      <c r="P166" s="28">
        <v>26</v>
      </c>
      <c r="Q166" s="21" t="s">
        <v>769</v>
      </c>
      <c r="R166" s="20" t="s">
        <v>188</v>
      </c>
      <c r="S166" s="20" t="s">
        <v>148</v>
      </c>
      <c r="T166" s="20" t="s">
        <v>189</v>
      </c>
      <c r="U166" s="20"/>
    </row>
    <row r="167" ht="144" customHeight="1" spans="1:21">
      <c r="A167" s="20">
        <f t="shared" si="20"/>
        <v>162</v>
      </c>
      <c r="B167" s="20" t="s">
        <v>13</v>
      </c>
      <c r="C167" s="20" t="s">
        <v>23</v>
      </c>
      <c r="D167" s="33" t="s">
        <v>25</v>
      </c>
      <c r="E167" s="20" t="s">
        <v>770</v>
      </c>
      <c r="F167" s="21" t="s">
        <v>771</v>
      </c>
      <c r="G167" s="20" t="s">
        <v>279</v>
      </c>
      <c r="H167" s="20" t="s">
        <v>733</v>
      </c>
      <c r="I167" s="23">
        <f t="shared" si="16"/>
        <v>65</v>
      </c>
      <c r="J167" s="23">
        <v>65</v>
      </c>
      <c r="K167" s="28"/>
      <c r="L167" s="20" t="s">
        <v>145</v>
      </c>
      <c r="M167" s="20">
        <v>376</v>
      </c>
      <c r="N167" s="20">
        <v>1011</v>
      </c>
      <c r="O167" s="20">
        <v>15</v>
      </c>
      <c r="P167" s="20">
        <v>28</v>
      </c>
      <c r="Q167" s="21" t="s">
        <v>772</v>
      </c>
      <c r="R167" s="20" t="s">
        <v>282</v>
      </c>
      <c r="S167" s="20" t="s">
        <v>148</v>
      </c>
      <c r="T167" s="20" t="s">
        <v>392</v>
      </c>
      <c r="U167" s="20"/>
    </row>
    <row r="168" s="3" customFormat="1" ht="154" customHeight="1" spans="1:21">
      <c r="A168" s="20">
        <f t="shared" si="20"/>
        <v>163</v>
      </c>
      <c r="B168" s="20" t="s">
        <v>13</v>
      </c>
      <c r="C168" s="20" t="s">
        <v>23</v>
      </c>
      <c r="D168" s="20" t="s">
        <v>26</v>
      </c>
      <c r="E168" s="20" t="s">
        <v>773</v>
      </c>
      <c r="F168" s="21" t="s">
        <v>774</v>
      </c>
      <c r="G168" s="20" t="s">
        <v>152</v>
      </c>
      <c r="H168" s="20" t="s">
        <v>743</v>
      </c>
      <c r="I168" s="23">
        <f t="shared" si="16"/>
        <v>160</v>
      </c>
      <c r="J168" s="23">
        <v>160</v>
      </c>
      <c r="K168" s="20"/>
      <c r="L168" s="20" t="s">
        <v>145</v>
      </c>
      <c r="M168" s="20">
        <v>4479</v>
      </c>
      <c r="N168" s="20">
        <v>12162</v>
      </c>
      <c r="O168" s="20">
        <v>192</v>
      </c>
      <c r="P168" s="20">
        <v>410</v>
      </c>
      <c r="Q168" s="21" t="s">
        <v>775</v>
      </c>
      <c r="R168" s="20" t="s">
        <v>155</v>
      </c>
      <c r="S168" s="20" t="s">
        <v>148</v>
      </c>
      <c r="T168" s="20" t="s">
        <v>156</v>
      </c>
      <c r="U168" s="20"/>
    </row>
    <row r="169" ht="126" customHeight="1" spans="1:21">
      <c r="A169" s="20">
        <f t="shared" si="20"/>
        <v>164</v>
      </c>
      <c r="B169" s="20" t="s">
        <v>13</v>
      </c>
      <c r="C169" s="20" t="s">
        <v>23</v>
      </c>
      <c r="D169" s="20" t="s">
        <v>26</v>
      </c>
      <c r="E169" s="20" t="s">
        <v>776</v>
      </c>
      <c r="F169" s="21" t="s">
        <v>777</v>
      </c>
      <c r="G169" s="20" t="s">
        <v>692</v>
      </c>
      <c r="H169" s="20" t="s">
        <v>778</v>
      </c>
      <c r="I169" s="23">
        <f t="shared" si="16"/>
        <v>259</v>
      </c>
      <c r="J169" s="23">
        <v>259</v>
      </c>
      <c r="K169" s="20">
        <v>0</v>
      </c>
      <c r="L169" s="20" t="s">
        <v>145</v>
      </c>
      <c r="M169" s="20">
        <v>496</v>
      </c>
      <c r="N169" s="20">
        <v>1467</v>
      </c>
      <c r="O169" s="20" t="s">
        <v>779</v>
      </c>
      <c r="P169" s="20">
        <v>17</v>
      </c>
      <c r="Q169" s="21" t="s">
        <v>780</v>
      </c>
      <c r="R169" s="20" t="s">
        <v>694</v>
      </c>
      <c r="S169" s="20" t="s">
        <v>148</v>
      </c>
      <c r="T169" s="20" t="s">
        <v>320</v>
      </c>
      <c r="U169" s="20"/>
    </row>
    <row r="170" ht="174.6" spans="1:21">
      <c r="A170" s="20">
        <f t="shared" si="20"/>
        <v>165</v>
      </c>
      <c r="B170" s="20" t="s">
        <v>13</v>
      </c>
      <c r="C170" s="20" t="s">
        <v>23</v>
      </c>
      <c r="D170" s="20" t="s">
        <v>26</v>
      </c>
      <c r="E170" s="20" t="s">
        <v>781</v>
      </c>
      <c r="F170" s="21" t="s">
        <v>782</v>
      </c>
      <c r="G170" s="20" t="s">
        <v>164</v>
      </c>
      <c r="H170" s="20" t="s">
        <v>164</v>
      </c>
      <c r="I170" s="23">
        <f t="shared" si="16"/>
        <v>272.41</v>
      </c>
      <c r="J170" s="29">
        <v>272.41</v>
      </c>
      <c r="K170" s="28"/>
      <c r="L170" s="28" t="s">
        <v>145</v>
      </c>
      <c r="M170" s="28">
        <v>4403</v>
      </c>
      <c r="N170" s="28">
        <v>12252</v>
      </c>
      <c r="O170" s="28">
        <v>166</v>
      </c>
      <c r="P170" s="28">
        <v>335</v>
      </c>
      <c r="Q170" s="21" t="s">
        <v>783</v>
      </c>
      <c r="R170" s="20" t="s">
        <v>167</v>
      </c>
      <c r="S170" s="20" t="s">
        <v>148</v>
      </c>
      <c r="T170" s="20" t="s">
        <v>392</v>
      </c>
      <c r="U170" s="20"/>
    </row>
    <row r="171" ht="174.6" spans="1:21">
      <c r="A171" s="20">
        <f t="shared" si="20"/>
        <v>166</v>
      </c>
      <c r="B171" s="20" t="s">
        <v>13</v>
      </c>
      <c r="C171" s="20" t="s">
        <v>23</v>
      </c>
      <c r="D171" s="20" t="s">
        <v>26</v>
      </c>
      <c r="E171" s="20" t="s">
        <v>784</v>
      </c>
      <c r="F171" s="21" t="s">
        <v>785</v>
      </c>
      <c r="G171" s="20" t="s">
        <v>164</v>
      </c>
      <c r="H171" s="20" t="s">
        <v>164</v>
      </c>
      <c r="I171" s="23">
        <f t="shared" si="16"/>
        <v>295</v>
      </c>
      <c r="J171" s="29">
        <v>295</v>
      </c>
      <c r="K171" s="28"/>
      <c r="L171" s="28" t="s">
        <v>145</v>
      </c>
      <c r="M171" s="28">
        <v>4403</v>
      </c>
      <c r="N171" s="28">
        <v>12252</v>
      </c>
      <c r="O171" s="28">
        <v>166</v>
      </c>
      <c r="P171" s="28">
        <v>335</v>
      </c>
      <c r="Q171" s="21" t="s">
        <v>786</v>
      </c>
      <c r="R171" s="20" t="s">
        <v>167</v>
      </c>
      <c r="S171" s="20" t="s">
        <v>148</v>
      </c>
      <c r="T171" s="20" t="s">
        <v>392</v>
      </c>
      <c r="U171" s="20"/>
    </row>
    <row r="172" ht="108" customHeight="1" spans="1:21">
      <c r="A172" s="20">
        <f t="shared" si="20"/>
        <v>167</v>
      </c>
      <c r="B172" s="20" t="s">
        <v>13</v>
      </c>
      <c r="C172" s="20" t="s">
        <v>23</v>
      </c>
      <c r="D172" s="20" t="s">
        <v>26</v>
      </c>
      <c r="E172" s="20" t="s">
        <v>787</v>
      </c>
      <c r="F172" s="21" t="s">
        <v>788</v>
      </c>
      <c r="G172" s="20" t="s">
        <v>185</v>
      </c>
      <c r="H172" s="20" t="s">
        <v>501</v>
      </c>
      <c r="I172" s="23">
        <f t="shared" si="16"/>
        <v>90</v>
      </c>
      <c r="J172" s="23">
        <v>90</v>
      </c>
      <c r="K172" s="20"/>
      <c r="L172" s="28" t="s">
        <v>145</v>
      </c>
      <c r="M172" s="20">
        <v>169</v>
      </c>
      <c r="N172" s="20">
        <v>452</v>
      </c>
      <c r="O172" s="20">
        <v>16</v>
      </c>
      <c r="P172" s="20">
        <v>25</v>
      </c>
      <c r="Q172" s="21" t="s">
        <v>789</v>
      </c>
      <c r="R172" s="20" t="s">
        <v>188</v>
      </c>
      <c r="S172" s="20" t="s">
        <v>148</v>
      </c>
      <c r="T172" s="20" t="s">
        <v>189</v>
      </c>
      <c r="U172" s="20"/>
    </row>
    <row r="173" s="3" customFormat="1" ht="177.75" customHeight="1" spans="1:21">
      <c r="A173" s="20">
        <f t="shared" si="20"/>
        <v>168</v>
      </c>
      <c r="B173" s="20" t="s">
        <v>13</v>
      </c>
      <c r="C173" s="20" t="s">
        <v>23</v>
      </c>
      <c r="D173" s="20" t="s">
        <v>27</v>
      </c>
      <c r="E173" s="20" t="s">
        <v>790</v>
      </c>
      <c r="F173" s="21" t="s">
        <v>791</v>
      </c>
      <c r="G173" s="20" t="s">
        <v>220</v>
      </c>
      <c r="H173" s="20" t="s">
        <v>221</v>
      </c>
      <c r="I173" s="23">
        <f t="shared" si="16"/>
        <v>6</v>
      </c>
      <c r="J173" s="23">
        <v>6</v>
      </c>
      <c r="K173" s="20">
        <v>0</v>
      </c>
      <c r="L173" s="20" t="s">
        <v>145</v>
      </c>
      <c r="M173" s="20">
        <v>612</v>
      </c>
      <c r="N173" s="20">
        <v>1439</v>
      </c>
      <c r="O173" s="20">
        <v>21</v>
      </c>
      <c r="P173" s="20">
        <v>30</v>
      </c>
      <c r="Q173" s="21" t="s">
        <v>792</v>
      </c>
      <c r="R173" s="20" t="s">
        <v>223</v>
      </c>
      <c r="S173" s="20" t="s">
        <v>148</v>
      </c>
      <c r="T173" s="20" t="s">
        <v>224</v>
      </c>
      <c r="U173" s="20"/>
    </row>
    <row r="174" s="3" customFormat="1" ht="141" customHeight="1" spans="1:21">
      <c r="A174" s="20">
        <f t="shared" si="20"/>
        <v>169</v>
      </c>
      <c r="B174" s="22" t="s">
        <v>13</v>
      </c>
      <c r="C174" s="22" t="s">
        <v>23</v>
      </c>
      <c r="D174" s="22" t="s">
        <v>27</v>
      </c>
      <c r="E174" s="20" t="s">
        <v>793</v>
      </c>
      <c r="F174" s="21" t="s">
        <v>794</v>
      </c>
      <c r="G174" s="20" t="s">
        <v>220</v>
      </c>
      <c r="H174" s="20" t="s">
        <v>299</v>
      </c>
      <c r="I174" s="23">
        <f t="shared" si="16"/>
        <v>20</v>
      </c>
      <c r="J174" s="23">
        <v>20</v>
      </c>
      <c r="K174" s="20">
        <v>0</v>
      </c>
      <c r="L174" s="20" t="s">
        <v>145</v>
      </c>
      <c r="M174" s="20">
        <v>4042</v>
      </c>
      <c r="N174" s="20">
        <v>9970</v>
      </c>
      <c r="O174" s="20">
        <v>110</v>
      </c>
      <c r="P174" s="20">
        <v>156</v>
      </c>
      <c r="Q174" s="21" t="s">
        <v>795</v>
      </c>
      <c r="R174" s="20" t="s">
        <v>223</v>
      </c>
      <c r="S174" s="20" t="s">
        <v>148</v>
      </c>
      <c r="T174" s="20" t="s">
        <v>347</v>
      </c>
      <c r="U174" s="20"/>
    </row>
    <row r="175" ht="141" customHeight="1" spans="1:21">
      <c r="A175" s="20">
        <f t="shared" si="20"/>
        <v>170</v>
      </c>
      <c r="B175" s="20" t="s">
        <v>13</v>
      </c>
      <c r="C175" s="20" t="s">
        <v>23</v>
      </c>
      <c r="D175" s="20" t="s">
        <v>27</v>
      </c>
      <c r="E175" s="20" t="s">
        <v>796</v>
      </c>
      <c r="F175" s="21" t="s">
        <v>797</v>
      </c>
      <c r="G175" s="20" t="s">
        <v>279</v>
      </c>
      <c r="H175" s="20" t="s">
        <v>385</v>
      </c>
      <c r="I175" s="23">
        <f t="shared" si="16"/>
        <v>95</v>
      </c>
      <c r="J175" s="23">
        <v>95</v>
      </c>
      <c r="K175" s="20"/>
      <c r="L175" s="20" t="s">
        <v>145</v>
      </c>
      <c r="M175" s="28">
        <v>8542</v>
      </c>
      <c r="N175" s="28">
        <v>21161</v>
      </c>
      <c r="O175" s="28">
        <v>329</v>
      </c>
      <c r="P175" s="28">
        <v>658</v>
      </c>
      <c r="Q175" s="21" t="s">
        <v>798</v>
      </c>
      <c r="R175" s="20" t="s">
        <v>282</v>
      </c>
      <c r="S175" s="20" t="s">
        <v>148</v>
      </c>
      <c r="T175" s="20" t="s">
        <v>799</v>
      </c>
      <c r="U175" s="20"/>
    </row>
    <row r="176" ht="139.2" spans="1:21">
      <c r="A176" s="20">
        <f t="shared" si="20"/>
        <v>171</v>
      </c>
      <c r="B176" s="22" t="s">
        <v>13</v>
      </c>
      <c r="C176" s="22" t="s">
        <v>23</v>
      </c>
      <c r="D176" s="22" t="s">
        <v>27</v>
      </c>
      <c r="E176" s="20" t="s">
        <v>800</v>
      </c>
      <c r="F176" s="21" t="s">
        <v>801</v>
      </c>
      <c r="G176" s="20" t="s">
        <v>220</v>
      </c>
      <c r="H176" s="20" t="s">
        <v>232</v>
      </c>
      <c r="I176" s="23">
        <f t="shared" si="16"/>
        <v>70.7</v>
      </c>
      <c r="J176" s="23">
        <v>70.7</v>
      </c>
      <c r="K176" s="20">
        <v>0</v>
      </c>
      <c r="L176" s="20" t="s">
        <v>145</v>
      </c>
      <c r="M176" s="20">
        <v>4042</v>
      </c>
      <c r="N176" s="20">
        <v>9970</v>
      </c>
      <c r="O176" s="20">
        <v>110</v>
      </c>
      <c r="P176" s="20">
        <v>156</v>
      </c>
      <c r="Q176" s="21" t="s">
        <v>802</v>
      </c>
      <c r="R176" s="20" t="s">
        <v>223</v>
      </c>
      <c r="S176" s="20" t="s">
        <v>148</v>
      </c>
      <c r="T176" s="20" t="s">
        <v>347</v>
      </c>
      <c r="U176" s="20"/>
    </row>
    <row r="177" ht="163" customHeight="1" spans="1:21">
      <c r="A177" s="20">
        <f t="shared" si="20"/>
        <v>172</v>
      </c>
      <c r="B177" s="20" t="s">
        <v>13</v>
      </c>
      <c r="C177" s="20" t="s">
        <v>28</v>
      </c>
      <c r="D177" s="20" t="s">
        <v>29</v>
      </c>
      <c r="E177" s="20" t="s">
        <v>803</v>
      </c>
      <c r="F177" s="21" t="s">
        <v>804</v>
      </c>
      <c r="G177" s="20" t="s">
        <v>370</v>
      </c>
      <c r="H177" s="20" t="s">
        <v>479</v>
      </c>
      <c r="I177" s="23">
        <f t="shared" si="16"/>
        <v>20</v>
      </c>
      <c r="J177" s="23">
        <v>20</v>
      </c>
      <c r="K177" s="20"/>
      <c r="L177" s="20" t="s">
        <v>145</v>
      </c>
      <c r="M177" s="20">
        <v>27</v>
      </c>
      <c r="N177" s="20">
        <v>67</v>
      </c>
      <c r="O177" s="20">
        <v>3</v>
      </c>
      <c r="P177" s="20">
        <v>8</v>
      </c>
      <c r="Q177" s="21" t="s">
        <v>805</v>
      </c>
      <c r="R177" s="20" t="s">
        <v>373</v>
      </c>
      <c r="S177" s="20" t="s">
        <v>148</v>
      </c>
      <c r="T177" s="20" t="s">
        <v>451</v>
      </c>
      <c r="U177" s="20"/>
    </row>
    <row r="178" s="3" customFormat="1" ht="84" customHeight="1" spans="1:21">
      <c r="A178" s="20">
        <f t="shared" si="20"/>
        <v>173</v>
      </c>
      <c r="B178" s="20" t="s">
        <v>13</v>
      </c>
      <c r="C178" s="20" t="s">
        <v>28</v>
      </c>
      <c r="D178" s="20" t="s">
        <v>29</v>
      </c>
      <c r="E178" s="20" t="s">
        <v>806</v>
      </c>
      <c r="F178" s="21" t="s">
        <v>807</v>
      </c>
      <c r="G178" s="20" t="s">
        <v>185</v>
      </c>
      <c r="H178" s="20" t="s">
        <v>808</v>
      </c>
      <c r="I178" s="23">
        <f t="shared" si="16"/>
        <v>50</v>
      </c>
      <c r="J178" s="29">
        <v>50</v>
      </c>
      <c r="K178" s="28"/>
      <c r="L178" s="20" t="s">
        <v>145</v>
      </c>
      <c r="M178" s="28">
        <v>233</v>
      </c>
      <c r="N178" s="28">
        <v>586</v>
      </c>
      <c r="O178" s="28">
        <v>10</v>
      </c>
      <c r="P178" s="28">
        <v>14</v>
      </c>
      <c r="Q178" s="21" t="s">
        <v>809</v>
      </c>
      <c r="R178" s="20" t="s">
        <v>188</v>
      </c>
      <c r="S178" s="20" t="s">
        <v>148</v>
      </c>
      <c r="T178" s="20" t="s">
        <v>189</v>
      </c>
      <c r="U178" s="28"/>
    </row>
    <row r="179" s="3" customFormat="1" ht="126" customHeight="1" spans="1:21">
      <c r="A179" s="20">
        <f t="shared" si="20"/>
        <v>174</v>
      </c>
      <c r="B179" s="20" t="s">
        <v>13</v>
      </c>
      <c r="C179" s="20" t="s">
        <v>28</v>
      </c>
      <c r="D179" s="20" t="s">
        <v>29</v>
      </c>
      <c r="E179" s="20" t="s">
        <v>810</v>
      </c>
      <c r="F179" s="21" t="s">
        <v>811</v>
      </c>
      <c r="G179" s="20" t="s">
        <v>185</v>
      </c>
      <c r="H179" s="20" t="s">
        <v>812</v>
      </c>
      <c r="I179" s="23">
        <f t="shared" si="16"/>
        <v>52.2</v>
      </c>
      <c r="J179" s="23">
        <v>52.2</v>
      </c>
      <c r="K179" s="20"/>
      <c r="L179" s="20" t="s">
        <v>145</v>
      </c>
      <c r="M179" s="20">
        <v>137</v>
      </c>
      <c r="N179" s="28">
        <v>408</v>
      </c>
      <c r="O179" s="20">
        <v>26</v>
      </c>
      <c r="P179" s="28">
        <v>55</v>
      </c>
      <c r="Q179" s="21" t="s">
        <v>813</v>
      </c>
      <c r="R179" s="20" t="s">
        <v>188</v>
      </c>
      <c r="S179" s="20" t="s">
        <v>148</v>
      </c>
      <c r="T179" s="20" t="s">
        <v>189</v>
      </c>
      <c r="U179" s="28"/>
    </row>
    <row r="180" s="3" customFormat="1" ht="96" customHeight="1" spans="1:21">
      <c r="A180" s="20">
        <f t="shared" si="20"/>
        <v>175</v>
      </c>
      <c r="B180" s="20" t="s">
        <v>13</v>
      </c>
      <c r="C180" s="20" t="s">
        <v>28</v>
      </c>
      <c r="D180" s="20" t="s">
        <v>29</v>
      </c>
      <c r="E180" s="20" t="s">
        <v>814</v>
      </c>
      <c r="F180" s="21" t="s">
        <v>815</v>
      </c>
      <c r="G180" s="20" t="s">
        <v>171</v>
      </c>
      <c r="H180" s="20" t="s">
        <v>816</v>
      </c>
      <c r="I180" s="23">
        <f t="shared" si="16"/>
        <v>30</v>
      </c>
      <c r="J180" s="23">
        <v>30</v>
      </c>
      <c r="K180" s="20"/>
      <c r="L180" s="20" t="s">
        <v>145</v>
      </c>
      <c r="M180" s="20">
        <v>78</v>
      </c>
      <c r="N180" s="20">
        <v>234</v>
      </c>
      <c r="O180" s="20">
        <v>14</v>
      </c>
      <c r="P180" s="20">
        <v>37</v>
      </c>
      <c r="Q180" s="21" t="s">
        <v>817</v>
      </c>
      <c r="R180" s="20" t="s">
        <v>174</v>
      </c>
      <c r="S180" s="20" t="s">
        <v>148</v>
      </c>
      <c r="T180" s="20" t="s">
        <v>256</v>
      </c>
      <c r="U180" s="28"/>
    </row>
    <row r="181" s="3" customFormat="1" ht="109" customHeight="1" spans="1:21">
      <c r="A181" s="20">
        <f t="shared" ref="A178:A187" si="21">ROW()-5</f>
        <v>176</v>
      </c>
      <c r="B181" s="20" t="s">
        <v>13</v>
      </c>
      <c r="C181" s="20" t="s">
        <v>28</v>
      </c>
      <c r="D181" s="20" t="s">
        <v>30</v>
      </c>
      <c r="E181" s="20" t="s">
        <v>818</v>
      </c>
      <c r="F181" s="21" t="s">
        <v>819</v>
      </c>
      <c r="G181" s="20" t="s">
        <v>185</v>
      </c>
      <c r="H181" s="20" t="s">
        <v>376</v>
      </c>
      <c r="I181" s="23">
        <f t="shared" si="16"/>
        <v>16</v>
      </c>
      <c r="J181" s="23">
        <v>16</v>
      </c>
      <c r="K181" s="20"/>
      <c r="L181" s="20" t="s">
        <v>145</v>
      </c>
      <c r="M181" s="20">
        <v>318</v>
      </c>
      <c r="N181" s="28">
        <v>815</v>
      </c>
      <c r="O181" s="20">
        <v>11</v>
      </c>
      <c r="P181" s="28">
        <v>23</v>
      </c>
      <c r="Q181" s="21" t="s">
        <v>820</v>
      </c>
      <c r="R181" s="20" t="s">
        <v>188</v>
      </c>
      <c r="S181" s="20" t="s">
        <v>148</v>
      </c>
      <c r="T181" s="20" t="s">
        <v>189</v>
      </c>
      <c r="U181" s="28"/>
    </row>
    <row r="182" s="3" customFormat="1" ht="95" customHeight="1" spans="1:21">
      <c r="A182" s="20">
        <f t="shared" si="21"/>
        <v>177</v>
      </c>
      <c r="B182" s="20" t="s">
        <v>13</v>
      </c>
      <c r="C182" s="22" t="s">
        <v>28</v>
      </c>
      <c r="D182" s="22" t="s">
        <v>30</v>
      </c>
      <c r="E182" s="20" t="s">
        <v>821</v>
      </c>
      <c r="F182" s="21" t="s">
        <v>822</v>
      </c>
      <c r="G182" s="20" t="s">
        <v>185</v>
      </c>
      <c r="H182" s="22" t="s">
        <v>497</v>
      </c>
      <c r="I182" s="23">
        <f t="shared" si="16"/>
        <v>39.5</v>
      </c>
      <c r="J182" s="23">
        <v>39.5</v>
      </c>
      <c r="K182" s="28"/>
      <c r="L182" s="20" t="s">
        <v>145</v>
      </c>
      <c r="M182" s="20">
        <v>136</v>
      </c>
      <c r="N182" s="28">
        <v>386</v>
      </c>
      <c r="O182" s="20">
        <v>3</v>
      </c>
      <c r="P182" s="28">
        <v>7</v>
      </c>
      <c r="Q182" s="21" t="s">
        <v>823</v>
      </c>
      <c r="R182" s="20" t="s">
        <v>188</v>
      </c>
      <c r="S182" s="20" t="s">
        <v>148</v>
      </c>
      <c r="T182" s="20" t="s">
        <v>189</v>
      </c>
      <c r="U182" s="28"/>
    </row>
    <row r="183" ht="93" customHeight="1" spans="1:21">
      <c r="A183" s="20">
        <f t="shared" si="21"/>
        <v>178</v>
      </c>
      <c r="B183" s="20" t="s">
        <v>13</v>
      </c>
      <c r="C183" s="20" t="s">
        <v>28</v>
      </c>
      <c r="D183" s="20" t="s">
        <v>30</v>
      </c>
      <c r="E183" s="20" t="s">
        <v>824</v>
      </c>
      <c r="F183" s="21" t="s">
        <v>825</v>
      </c>
      <c r="G183" s="20" t="s">
        <v>185</v>
      </c>
      <c r="H183" s="20" t="s">
        <v>286</v>
      </c>
      <c r="I183" s="23">
        <f t="shared" si="16"/>
        <v>30</v>
      </c>
      <c r="J183" s="23">
        <v>30</v>
      </c>
      <c r="K183" s="20"/>
      <c r="L183" s="20" t="s">
        <v>145</v>
      </c>
      <c r="M183" s="20">
        <v>369</v>
      </c>
      <c r="N183" s="20">
        <v>1023</v>
      </c>
      <c r="O183" s="20">
        <v>16</v>
      </c>
      <c r="P183" s="20">
        <v>26</v>
      </c>
      <c r="Q183" s="21" t="s">
        <v>826</v>
      </c>
      <c r="R183" s="20" t="s">
        <v>188</v>
      </c>
      <c r="S183" s="20" t="s">
        <v>148</v>
      </c>
      <c r="T183" s="20" t="s">
        <v>189</v>
      </c>
      <c r="U183" s="20"/>
    </row>
    <row r="184" ht="82" customHeight="1" spans="1:21">
      <c r="A184" s="20">
        <f t="shared" si="21"/>
        <v>179</v>
      </c>
      <c r="B184" s="20" t="s">
        <v>13</v>
      </c>
      <c r="C184" s="20" t="s">
        <v>28</v>
      </c>
      <c r="D184" s="20" t="s">
        <v>30</v>
      </c>
      <c r="E184" s="20" t="s">
        <v>827</v>
      </c>
      <c r="F184" s="21" t="s">
        <v>828</v>
      </c>
      <c r="G184" s="20" t="s">
        <v>185</v>
      </c>
      <c r="H184" s="20" t="s">
        <v>286</v>
      </c>
      <c r="I184" s="23">
        <f t="shared" si="16"/>
        <v>32</v>
      </c>
      <c r="J184" s="23">
        <v>32</v>
      </c>
      <c r="K184" s="20"/>
      <c r="L184" s="20" t="s">
        <v>145</v>
      </c>
      <c r="M184" s="20">
        <v>369</v>
      </c>
      <c r="N184" s="20">
        <v>1023</v>
      </c>
      <c r="O184" s="20">
        <v>16</v>
      </c>
      <c r="P184" s="20">
        <v>26</v>
      </c>
      <c r="Q184" s="21" t="s">
        <v>661</v>
      </c>
      <c r="R184" s="20" t="s">
        <v>188</v>
      </c>
      <c r="S184" s="20" t="s">
        <v>148</v>
      </c>
      <c r="T184" s="20" t="s">
        <v>189</v>
      </c>
      <c r="U184" s="20"/>
    </row>
    <row r="185" s="3" customFormat="1" ht="133" customHeight="1" spans="1:21">
      <c r="A185" s="20">
        <f t="shared" si="21"/>
        <v>180</v>
      </c>
      <c r="B185" s="20" t="s">
        <v>13</v>
      </c>
      <c r="C185" s="22" t="s">
        <v>31</v>
      </c>
      <c r="D185" s="22" t="s">
        <v>35</v>
      </c>
      <c r="E185" s="20" t="s">
        <v>829</v>
      </c>
      <c r="F185" s="21" t="s">
        <v>830</v>
      </c>
      <c r="G185" s="20" t="s">
        <v>143</v>
      </c>
      <c r="H185" s="22" t="s">
        <v>671</v>
      </c>
      <c r="I185" s="23">
        <f t="shared" si="16"/>
        <v>25</v>
      </c>
      <c r="J185" s="23">
        <v>25</v>
      </c>
      <c r="K185" s="20"/>
      <c r="L185" s="20" t="s">
        <v>145</v>
      </c>
      <c r="M185" s="20">
        <v>473</v>
      </c>
      <c r="N185" s="20">
        <v>1394</v>
      </c>
      <c r="O185" s="20">
        <v>9</v>
      </c>
      <c r="P185" s="22">
        <v>16</v>
      </c>
      <c r="Q185" s="21" t="s">
        <v>831</v>
      </c>
      <c r="R185" s="20" t="s">
        <v>147</v>
      </c>
      <c r="S185" s="20" t="s">
        <v>148</v>
      </c>
      <c r="T185" s="20" t="s">
        <v>156</v>
      </c>
      <c r="U185" s="20"/>
    </row>
    <row r="186" s="3" customFormat="1" ht="92" customHeight="1" spans="1:21">
      <c r="A186" s="20">
        <f t="shared" si="21"/>
        <v>181</v>
      </c>
      <c r="B186" s="20" t="s">
        <v>13</v>
      </c>
      <c r="C186" s="20" t="s">
        <v>31</v>
      </c>
      <c r="D186" s="20" t="s">
        <v>35</v>
      </c>
      <c r="E186" s="20" t="s">
        <v>832</v>
      </c>
      <c r="F186" s="21" t="s">
        <v>833</v>
      </c>
      <c r="G186" s="20" t="s">
        <v>556</v>
      </c>
      <c r="H186" s="20" t="s">
        <v>834</v>
      </c>
      <c r="I186" s="23">
        <f t="shared" si="16"/>
        <v>12</v>
      </c>
      <c r="J186" s="23">
        <v>12</v>
      </c>
      <c r="K186" s="20"/>
      <c r="L186" s="20" t="s">
        <v>145</v>
      </c>
      <c r="M186" s="20">
        <v>367</v>
      </c>
      <c r="N186" s="20">
        <v>940</v>
      </c>
      <c r="O186" s="20">
        <v>23</v>
      </c>
      <c r="P186" s="20">
        <v>42</v>
      </c>
      <c r="Q186" s="21" t="s">
        <v>835</v>
      </c>
      <c r="R186" s="20" t="s">
        <v>558</v>
      </c>
      <c r="S186" s="20" t="s">
        <v>148</v>
      </c>
      <c r="T186" s="20" t="s">
        <v>836</v>
      </c>
      <c r="U186" s="20"/>
    </row>
    <row r="187" s="3" customFormat="1" ht="187" customHeight="1" spans="1:21">
      <c r="A187" s="20">
        <f t="shared" si="21"/>
        <v>182</v>
      </c>
      <c r="B187" s="20" t="s">
        <v>13</v>
      </c>
      <c r="C187" s="22" t="s">
        <v>31</v>
      </c>
      <c r="D187" s="22" t="s">
        <v>35</v>
      </c>
      <c r="E187" s="20" t="s">
        <v>837</v>
      </c>
      <c r="F187" s="21" t="s">
        <v>838</v>
      </c>
      <c r="G187" s="20" t="s">
        <v>178</v>
      </c>
      <c r="H187" s="22" t="s">
        <v>433</v>
      </c>
      <c r="I187" s="23">
        <f t="shared" si="16"/>
        <v>171.2</v>
      </c>
      <c r="J187" s="23">
        <v>171.2</v>
      </c>
      <c r="K187" s="20"/>
      <c r="L187" s="20" t="s">
        <v>145</v>
      </c>
      <c r="M187" s="20">
        <v>3842</v>
      </c>
      <c r="N187" s="20">
        <v>10430</v>
      </c>
      <c r="O187" s="20">
        <v>294</v>
      </c>
      <c r="P187" s="22">
        <v>640</v>
      </c>
      <c r="Q187" s="21" t="s">
        <v>839</v>
      </c>
      <c r="R187" s="20" t="s">
        <v>181</v>
      </c>
      <c r="S187" s="20" t="s">
        <v>148</v>
      </c>
      <c r="T187" s="20" t="s">
        <v>175</v>
      </c>
      <c r="U187" s="20"/>
    </row>
    <row r="188" s="3" customFormat="1" ht="114" customHeight="1" spans="1:21">
      <c r="A188" s="20">
        <f t="shared" ref="A188:A197" si="22">ROW()-5</f>
        <v>183</v>
      </c>
      <c r="B188" s="20" t="s">
        <v>13</v>
      </c>
      <c r="C188" s="20" t="s">
        <v>31</v>
      </c>
      <c r="D188" s="20" t="s">
        <v>35</v>
      </c>
      <c r="E188" s="20" t="s">
        <v>840</v>
      </c>
      <c r="F188" s="21" t="s">
        <v>841</v>
      </c>
      <c r="G188" s="20" t="s">
        <v>279</v>
      </c>
      <c r="H188" s="20" t="s">
        <v>280</v>
      </c>
      <c r="I188" s="23">
        <f t="shared" si="16"/>
        <v>78.94</v>
      </c>
      <c r="J188" s="23">
        <v>78.94</v>
      </c>
      <c r="K188" s="20"/>
      <c r="L188" s="20" t="s">
        <v>145</v>
      </c>
      <c r="M188" s="20">
        <v>453</v>
      </c>
      <c r="N188" s="20">
        <v>1121</v>
      </c>
      <c r="O188" s="20">
        <v>15</v>
      </c>
      <c r="P188" s="20">
        <v>34</v>
      </c>
      <c r="Q188" s="21" t="s">
        <v>842</v>
      </c>
      <c r="R188" s="20" t="s">
        <v>282</v>
      </c>
      <c r="S188" s="20" t="s">
        <v>148</v>
      </c>
      <c r="T188" s="20" t="s">
        <v>698</v>
      </c>
      <c r="U188" s="20"/>
    </row>
    <row r="189" ht="124" customHeight="1" spans="1:21">
      <c r="A189" s="20">
        <f t="shared" si="22"/>
        <v>184</v>
      </c>
      <c r="B189" s="20" t="s">
        <v>13</v>
      </c>
      <c r="C189" s="20" t="s">
        <v>31</v>
      </c>
      <c r="D189" s="20" t="s">
        <v>35</v>
      </c>
      <c r="E189" s="20" t="s">
        <v>843</v>
      </c>
      <c r="F189" s="21" t="s">
        <v>844</v>
      </c>
      <c r="G189" s="20" t="s">
        <v>279</v>
      </c>
      <c r="H189" s="20" t="s">
        <v>845</v>
      </c>
      <c r="I189" s="23">
        <f t="shared" si="16"/>
        <v>30</v>
      </c>
      <c r="J189" s="23">
        <v>30</v>
      </c>
      <c r="K189" s="20"/>
      <c r="L189" s="20" t="s">
        <v>145</v>
      </c>
      <c r="M189" s="20">
        <v>482</v>
      </c>
      <c r="N189" s="20">
        <v>1227</v>
      </c>
      <c r="O189" s="20">
        <v>19</v>
      </c>
      <c r="P189" s="20">
        <v>29</v>
      </c>
      <c r="Q189" s="21" t="s">
        <v>846</v>
      </c>
      <c r="R189" s="20" t="s">
        <v>282</v>
      </c>
      <c r="S189" s="20" t="s">
        <v>148</v>
      </c>
      <c r="T189" s="20" t="s">
        <v>392</v>
      </c>
      <c r="U189" s="20"/>
    </row>
    <row r="190" ht="154" customHeight="1" spans="1:21">
      <c r="A190" s="20">
        <f t="shared" si="22"/>
        <v>185</v>
      </c>
      <c r="B190" s="20" t="s">
        <v>13</v>
      </c>
      <c r="C190" s="20" t="s">
        <v>31</v>
      </c>
      <c r="D190" s="20" t="s">
        <v>35</v>
      </c>
      <c r="E190" s="20" t="s">
        <v>847</v>
      </c>
      <c r="F190" s="21" t="s">
        <v>848</v>
      </c>
      <c r="G190" s="20" t="s">
        <v>279</v>
      </c>
      <c r="H190" s="20" t="s">
        <v>518</v>
      </c>
      <c r="I190" s="23">
        <f t="shared" si="16"/>
        <v>34.1</v>
      </c>
      <c r="J190" s="23">
        <v>34.1</v>
      </c>
      <c r="K190" s="20"/>
      <c r="L190" s="20" t="s">
        <v>145</v>
      </c>
      <c r="M190" s="20">
        <v>287</v>
      </c>
      <c r="N190" s="20">
        <v>936</v>
      </c>
      <c r="O190" s="20">
        <v>17</v>
      </c>
      <c r="P190" s="20">
        <v>46</v>
      </c>
      <c r="Q190" s="21" t="s">
        <v>849</v>
      </c>
      <c r="R190" s="20" t="s">
        <v>282</v>
      </c>
      <c r="S190" s="20" t="s">
        <v>148</v>
      </c>
      <c r="T190" s="20" t="s">
        <v>392</v>
      </c>
      <c r="U190" s="20"/>
    </row>
    <row r="191" ht="288" customHeight="1" spans="1:21">
      <c r="A191" s="20">
        <f t="shared" si="22"/>
        <v>186</v>
      </c>
      <c r="B191" s="20" t="s">
        <v>13</v>
      </c>
      <c r="C191" s="22" t="s">
        <v>31</v>
      </c>
      <c r="D191" s="20" t="s">
        <v>35</v>
      </c>
      <c r="E191" s="20" t="s">
        <v>850</v>
      </c>
      <c r="F191" s="25" t="s">
        <v>851</v>
      </c>
      <c r="G191" s="22" t="s">
        <v>556</v>
      </c>
      <c r="H191" s="22" t="s">
        <v>852</v>
      </c>
      <c r="I191" s="23">
        <f t="shared" si="16"/>
        <v>124.95</v>
      </c>
      <c r="J191" s="30">
        <v>124.95</v>
      </c>
      <c r="K191" s="22"/>
      <c r="L191" s="22" t="s">
        <v>145</v>
      </c>
      <c r="M191" s="37">
        <v>7256</v>
      </c>
      <c r="N191" s="37">
        <v>20227</v>
      </c>
      <c r="O191" s="37">
        <v>332</v>
      </c>
      <c r="P191" s="37">
        <v>646</v>
      </c>
      <c r="Q191" s="21" t="s">
        <v>853</v>
      </c>
      <c r="R191" s="20" t="s">
        <v>558</v>
      </c>
      <c r="S191" s="20" t="s">
        <v>148</v>
      </c>
      <c r="T191" s="20" t="s">
        <v>224</v>
      </c>
      <c r="U191" s="20"/>
    </row>
    <row r="192" ht="123" customHeight="1" spans="1:21">
      <c r="A192" s="20">
        <f t="shared" si="22"/>
        <v>187</v>
      </c>
      <c r="B192" s="20" t="s">
        <v>13</v>
      </c>
      <c r="C192" s="20" t="s">
        <v>31</v>
      </c>
      <c r="D192" s="20" t="s">
        <v>35</v>
      </c>
      <c r="E192" s="20" t="s">
        <v>854</v>
      </c>
      <c r="F192" s="21" t="s">
        <v>855</v>
      </c>
      <c r="G192" s="20" t="s">
        <v>164</v>
      </c>
      <c r="H192" s="20" t="s">
        <v>264</v>
      </c>
      <c r="I192" s="23">
        <f t="shared" si="16"/>
        <v>123.151</v>
      </c>
      <c r="J192" s="29">
        <v>123.151</v>
      </c>
      <c r="K192" s="28"/>
      <c r="L192" s="28" t="s">
        <v>145</v>
      </c>
      <c r="M192" s="28">
        <v>434</v>
      </c>
      <c r="N192" s="28">
        <v>1174</v>
      </c>
      <c r="O192" s="28">
        <v>14</v>
      </c>
      <c r="P192" s="28">
        <v>31</v>
      </c>
      <c r="Q192" s="21" t="s">
        <v>856</v>
      </c>
      <c r="R192" s="20" t="s">
        <v>167</v>
      </c>
      <c r="S192" s="20" t="s">
        <v>148</v>
      </c>
      <c r="T192" s="20" t="s">
        <v>392</v>
      </c>
      <c r="U192" s="20"/>
    </row>
    <row r="193" ht="191.4" spans="1:21">
      <c r="A193" s="20">
        <f t="shared" si="22"/>
        <v>188</v>
      </c>
      <c r="B193" s="20" t="s">
        <v>13</v>
      </c>
      <c r="C193" s="20" t="s">
        <v>31</v>
      </c>
      <c r="D193" s="20" t="s">
        <v>35</v>
      </c>
      <c r="E193" s="20" t="s">
        <v>857</v>
      </c>
      <c r="F193" s="21" t="s">
        <v>858</v>
      </c>
      <c r="G193" s="20" t="s">
        <v>152</v>
      </c>
      <c r="H193" s="20" t="s">
        <v>859</v>
      </c>
      <c r="I193" s="23">
        <f t="shared" si="16"/>
        <v>195</v>
      </c>
      <c r="J193" s="23">
        <v>195</v>
      </c>
      <c r="K193" s="20"/>
      <c r="L193" s="20" t="s">
        <v>145</v>
      </c>
      <c r="M193" s="20">
        <v>4479</v>
      </c>
      <c r="N193" s="20">
        <v>12162</v>
      </c>
      <c r="O193" s="20">
        <v>192</v>
      </c>
      <c r="P193" s="20">
        <v>410</v>
      </c>
      <c r="Q193" s="21" t="s">
        <v>860</v>
      </c>
      <c r="R193" s="20" t="s">
        <v>155</v>
      </c>
      <c r="S193" s="20" t="s">
        <v>148</v>
      </c>
      <c r="T193" s="20" t="s">
        <v>156</v>
      </c>
      <c r="U193" s="20"/>
    </row>
    <row r="194" ht="226.2" spans="1:21">
      <c r="A194" s="20">
        <f t="shared" si="22"/>
        <v>189</v>
      </c>
      <c r="B194" s="20" t="s">
        <v>13</v>
      </c>
      <c r="C194" s="20" t="s">
        <v>31</v>
      </c>
      <c r="D194" s="20" t="s">
        <v>35</v>
      </c>
      <c r="E194" s="20" t="s">
        <v>861</v>
      </c>
      <c r="F194" s="21" t="s">
        <v>862</v>
      </c>
      <c r="G194" s="20" t="s">
        <v>370</v>
      </c>
      <c r="H194" s="20" t="s">
        <v>385</v>
      </c>
      <c r="I194" s="23">
        <f t="shared" si="16"/>
        <v>54.55</v>
      </c>
      <c r="J194" s="23">
        <v>54.55</v>
      </c>
      <c r="K194" s="21"/>
      <c r="L194" s="21" t="s">
        <v>145</v>
      </c>
      <c r="M194" s="20">
        <v>617</v>
      </c>
      <c r="N194" s="20">
        <v>1498</v>
      </c>
      <c r="O194" s="20">
        <v>52</v>
      </c>
      <c r="P194" s="20">
        <v>85</v>
      </c>
      <c r="Q194" s="21" t="s">
        <v>863</v>
      </c>
      <c r="R194" s="21" t="s">
        <v>373</v>
      </c>
      <c r="S194" s="21" t="s">
        <v>148</v>
      </c>
      <c r="T194" s="21" t="s">
        <v>451</v>
      </c>
      <c r="U194" s="20"/>
    </row>
    <row r="195" s="3" customFormat="1" ht="92" customHeight="1" spans="1:21">
      <c r="A195" s="20">
        <f t="shared" si="22"/>
        <v>190</v>
      </c>
      <c r="B195" s="20" t="s">
        <v>13</v>
      </c>
      <c r="C195" s="22" t="s">
        <v>36</v>
      </c>
      <c r="D195" s="22" t="s">
        <v>37</v>
      </c>
      <c r="E195" s="20" t="s">
        <v>864</v>
      </c>
      <c r="F195" s="21" t="s">
        <v>865</v>
      </c>
      <c r="G195" s="20" t="s">
        <v>448</v>
      </c>
      <c r="H195" s="22" t="s">
        <v>249</v>
      </c>
      <c r="I195" s="23">
        <f t="shared" si="16"/>
        <v>70</v>
      </c>
      <c r="J195" s="23">
        <v>70</v>
      </c>
      <c r="K195" s="20"/>
      <c r="L195" s="20" t="s">
        <v>145</v>
      </c>
      <c r="M195" s="20">
        <v>550</v>
      </c>
      <c r="N195" s="20">
        <v>1200</v>
      </c>
      <c r="O195" s="20">
        <v>550</v>
      </c>
      <c r="P195" s="22">
        <v>1200</v>
      </c>
      <c r="Q195" s="21" t="s">
        <v>866</v>
      </c>
      <c r="R195" s="20" t="s">
        <v>148</v>
      </c>
      <c r="S195" s="20" t="s">
        <v>148</v>
      </c>
      <c r="T195" s="20" t="s">
        <v>347</v>
      </c>
      <c r="U195" s="28"/>
    </row>
    <row r="196" s="3" customFormat="1" ht="79" customHeight="1" spans="1:21">
      <c r="A196" s="20">
        <f t="shared" si="22"/>
        <v>191</v>
      </c>
      <c r="B196" s="20" t="s">
        <v>13</v>
      </c>
      <c r="C196" s="22" t="s">
        <v>36</v>
      </c>
      <c r="D196" s="22" t="s">
        <v>41</v>
      </c>
      <c r="E196" s="20" t="s">
        <v>867</v>
      </c>
      <c r="F196" s="21" t="s">
        <v>868</v>
      </c>
      <c r="G196" s="20" t="s">
        <v>448</v>
      </c>
      <c r="H196" s="22" t="s">
        <v>249</v>
      </c>
      <c r="I196" s="23">
        <f t="shared" si="16"/>
        <v>2</v>
      </c>
      <c r="J196" s="23">
        <v>2</v>
      </c>
      <c r="K196" s="20"/>
      <c r="L196" s="20" t="s">
        <v>145</v>
      </c>
      <c r="M196" s="20">
        <v>20</v>
      </c>
      <c r="N196" s="20">
        <v>50</v>
      </c>
      <c r="O196" s="20">
        <v>20</v>
      </c>
      <c r="P196" s="22">
        <v>50</v>
      </c>
      <c r="Q196" s="21" t="s">
        <v>869</v>
      </c>
      <c r="R196" s="20" t="s">
        <v>148</v>
      </c>
      <c r="S196" s="20" t="s">
        <v>148</v>
      </c>
      <c r="T196" s="20" t="s">
        <v>347</v>
      </c>
      <c r="U196" s="28"/>
    </row>
    <row r="197" s="3" customFormat="1" ht="87" customHeight="1" spans="1:21">
      <c r="A197" s="20">
        <f t="shared" si="22"/>
        <v>192</v>
      </c>
      <c r="B197" s="20" t="s">
        <v>48</v>
      </c>
      <c r="C197" s="22" t="s">
        <v>49</v>
      </c>
      <c r="D197" s="22" t="s">
        <v>50</v>
      </c>
      <c r="E197" s="20" t="s">
        <v>870</v>
      </c>
      <c r="F197" s="21" t="s">
        <v>871</v>
      </c>
      <c r="G197" s="20" t="s">
        <v>448</v>
      </c>
      <c r="H197" s="22" t="s">
        <v>249</v>
      </c>
      <c r="I197" s="23">
        <f t="shared" si="16"/>
        <v>10</v>
      </c>
      <c r="J197" s="23">
        <v>10</v>
      </c>
      <c r="K197" s="20"/>
      <c r="L197" s="20" t="s">
        <v>145</v>
      </c>
      <c r="M197" s="20">
        <v>200</v>
      </c>
      <c r="N197" s="20">
        <v>200</v>
      </c>
      <c r="O197" s="20">
        <v>200</v>
      </c>
      <c r="P197" s="22">
        <v>200</v>
      </c>
      <c r="Q197" s="21" t="s">
        <v>872</v>
      </c>
      <c r="R197" s="20" t="s">
        <v>148</v>
      </c>
      <c r="S197" s="20" t="s">
        <v>148</v>
      </c>
      <c r="T197" s="20" t="s">
        <v>347</v>
      </c>
      <c r="U197" s="28"/>
    </row>
    <row r="198" s="3" customFormat="1" ht="84" customHeight="1" spans="1:21">
      <c r="A198" s="20">
        <f t="shared" ref="A198:A207" si="23">ROW()-5</f>
        <v>193</v>
      </c>
      <c r="B198" s="20" t="s">
        <v>48</v>
      </c>
      <c r="C198" s="22" t="s">
        <v>56</v>
      </c>
      <c r="D198" s="22" t="s">
        <v>57</v>
      </c>
      <c r="E198" s="20" t="s">
        <v>873</v>
      </c>
      <c r="F198" s="21" t="s">
        <v>874</v>
      </c>
      <c r="G198" s="20" t="s">
        <v>875</v>
      </c>
      <c r="H198" s="22" t="s">
        <v>876</v>
      </c>
      <c r="I198" s="23">
        <f t="shared" si="16"/>
        <v>20</v>
      </c>
      <c r="J198" s="23">
        <v>20</v>
      </c>
      <c r="K198" s="20"/>
      <c r="L198" s="20" t="s">
        <v>145</v>
      </c>
      <c r="M198" s="20">
        <v>296</v>
      </c>
      <c r="N198" s="20">
        <v>572</v>
      </c>
      <c r="O198" s="20">
        <v>296</v>
      </c>
      <c r="P198" s="22">
        <v>572</v>
      </c>
      <c r="Q198" s="21" t="s">
        <v>877</v>
      </c>
      <c r="R198" s="20" t="s">
        <v>148</v>
      </c>
      <c r="S198" s="20" t="s">
        <v>148</v>
      </c>
      <c r="T198" s="20" t="s">
        <v>836</v>
      </c>
      <c r="U198" s="28"/>
    </row>
    <row r="199" s="3" customFormat="1" ht="97" customHeight="1" spans="1:21">
      <c r="A199" s="20">
        <f t="shared" si="23"/>
        <v>194</v>
      </c>
      <c r="B199" s="20" t="s">
        <v>64</v>
      </c>
      <c r="C199" s="22" t="s">
        <v>65</v>
      </c>
      <c r="D199" s="20" t="s">
        <v>66</v>
      </c>
      <c r="E199" s="20" t="s">
        <v>878</v>
      </c>
      <c r="F199" s="21" t="s">
        <v>879</v>
      </c>
      <c r="G199" s="20" t="s">
        <v>143</v>
      </c>
      <c r="H199" s="20" t="s">
        <v>880</v>
      </c>
      <c r="I199" s="23">
        <f t="shared" ref="I199:I262" si="24">J199+K199</f>
        <v>135</v>
      </c>
      <c r="J199" s="23">
        <v>135</v>
      </c>
      <c r="K199" s="20"/>
      <c r="L199" s="20" t="s">
        <v>145</v>
      </c>
      <c r="M199" s="20">
        <v>43</v>
      </c>
      <c r="N199" s="20">
        <v>128</v>
      </c>
      <c r="O199" s="20">
        <v>1</v>
      </c>
      <c r="P199" s="20">
        <v>2</v>
      </c>
      <c r="Q199" s="21" t="s">
        <v>881</v>
      </c>
      <c r="R199" s="20" t="s">
        <v>147</v>
      </c>
      <c r="S199" s="20" t="s">
        <v>148</v>
      </c>
      <c r="T199" s="20" t="s">
        <v>149</v>
      </c>
      <c r="U199" s="20"/>
    </row>
    <row r="200" s="3" customFormat="1" ht="84" customHeight="1" spans="1:21">
      <c r="A200" s="20">
        <f t="shared" si="23"/>
        <v>195</v>
      </c>
      <c r="B200" s="20" t="s">
        <v>64</v>
      </c>
      <c r="C200" s="22" t="s">
        <v>65</v>
      </c>
      <c r="D200" s="20" t="s">
        <v>66</v>
      </c>
      <c r="E200" s="20" t="s">
        <v>882</v>
      </c>
      <c r="F200" s="21" t="s">
        <v>883</v>
      </c>
      <c r="G200" s="20" t="s">
        <v>143</v>
      </c>
      <c r="H200" s="20" t="s">
        <v>884</v>
      </c>
      <c r="I200" s="23">
        <f t="shared" si="24"/>
        <v>75</v>
      </c>
      <c r="J200" s="29">
        <v>75</v>
      </c>
      <c r="K200" s="28"/>
      <c r="L200" s="28" t="s">
        <v>145</v>
      </c>
      <c r="M200" s="20">
        <v>42</v>
      </c>
      <c r="N200" s="20">
        <v>127</v>
      </c>
      <c r="O200" s="20">
        <v>0</v>
      </c>
      <c r="P200" s="20">
        <v>0</v>
      </c>
      <c r="Q200" s="21" t="s">
        <v>885</v>
      </c>
      <c r="R200" s="20" t="s">
        <v>147</v>
      </c>
      <c r="S200" s="20" t="s">
        <v>148</v>
      </c>
      <c r="T200" s="20" t="s">
        <v>149</v>
      </c>
      <c r="U200" s="20"/>
    </row>
    <row r="201" s="3" customFormat="1" ht="112" customHeight="1" spans="1:21">
      <c r="A201" s="20">
        <f t="shared" si="23"/>
        <v>196</v>
      </c>
      <c r="B201" s="20" t="s">
        <v>64</v>
      </c>
      <c r="C201" s="22" t="s">
        <v>65</v>
      </c>
      <c r="D201" s="20" t="s">
        <v>66</v>
      </c>
      <c r="E201" s="20" t="s">
        <v>886</v>
      </c>
      <c r="F201" s="21" t="s">
        <v>887</v>
      </c>
      <c r="G201" s="20" t="s">
        <v>143</v>
      </c>
      <c r="H201" s="20" t="s">
        <v>630</v>
      </c>
      <c r="I201" s="23">
        <f t="shared" si="24"/>
        <v>165</v>
      </c>
      <c r="J201" s="23">
        <v>165</v>
      </c>
      <c r="K201" s="20"/>
      <c r="L201" s="20" t="s">
        <v>145</v>
      </c>
      <c r="M201" s="20">
        <v>90</v>
      </c>
      <c r="N201" s="20">
        <v>268</v>
      </c>
      <c r="O201" s="20">
        <v>3</v>
      </c>
      <c r="P201" s="20">
        <v>4</v>
      </c>
      <c r="Q201" s="21" t="s">
        <v>888</v>
      </c>
      <c r="R201" s="20" t="s">
        <v>147</v>
      </c>
      <c r="S201" s="20" t="s">
        <v>148</v>
      </c>
      <c r="T201" s="20" t="s">
        <v>149</v>
      </c>
      <c r="U201" s="20"/>
    </row>
    <row r="202" s="3" customFormat="1" ht="97" customHeight="1" spans="1:21">
      <c r="A202" s="20">
        <f t="shared" si="23"/>
        <v>197</v>
      </c>
      <c r="B202" s="20" t="s">
        <v>64</v>
      </c>
      <c r="C202" s="22" t="s">
        <v>65</v>
      </c>
      <c r="D202" s="20" t="s">
        <v>66</v>
      </c>
      <c r="E202" s="20" t="s">
        <v>889</v>
      </c>
      <c r="F202" s="21" t="s">
        <v>890</v>
      </c>
      <c r="G202" s="20" t="s">
        <v>556</v>
      </c>
      <c r="H202" s="20" t="s">
        <v>891</v>
      </c>
      <c r="I202" s="23">
        <f t="shared" si="24"/>
        <v>25</v>
      </c>
      <c r="J202" s="23">
        <v>25</v>
      </c>
      <c r="K202" s="20"/>
      <c r="L202" s="20" t="s">
        <v>145</v>
      </c>
      <c r="M202" s="20">
        <v>27</v>
      </c>
      <c r="N202" s="20">
        <v>77</v>
      </c>
      <c r="O202" s="20">
        <v>1</v>
      </c>
      <c r="P202" s="20">
        <v>1</v>
      </c>
      <c r="Q202" s="21" t="s">
        <v>892</v>
      </c>
      <c r="R202" s="20" t="s">
        <v>558</v>
      </c>
      <c r="S202" s="20" t="s">
        <v>148</v>
      </c>
      <c r="T202" s="20" t="s">
        <v>251</v>
      </c>
      <c r="U202" s="20"/>
    </row>
    <row r="203" s="3" customFormat="1" ht="89" customHeight="1" spans="1:21">
      <c r="A203" s="20">
        <f t="shared" si="23"/>
        <v>198</v>
      </c>
      <c r="B203" s="20" t="s">
        <v>64</v>
      </c>
      <c r="C203" s="22" t="s">
        <v>65</v>
      </c>
      <c r="D203" s="20" t="s">
        <v>66</v>
      </c>
      <c r="E203" s="20" t="s">
        <v>893</v>
      </c>
      <c r="F203" s="21" t="s">
        <v>894</v>
      </c>
      <c r="G203" s="20" t="s">
        <v>152</v>
      </c>
      <c r="H203" s="20" t="s">
        <v>895</v>
      </c>
      <c r="I203" s="23">
        <f t="shared" si="24"/>
        <v>75</v>
      </c>
      <c r="J203" s="23">
        <v>0</v>
      </c>
      <c r="K203" s="20">
        <v>75</v>
      </c>
      <c r="L203" s="20" t="s">
        <v>145</v>
      </c>
      <c r="M203" s="20">
        <v>30</v>
      </c>
      <c r="N203" s="20">
        <v>75</v>
      </c>
      <c r="O203" s="20">
        <v>1</v>
      </c>
      <c r="P203" s="20">
        <v>1</v>
      </c>
      <c r="Q203" s="21" t="s">
        <v>896</v>
      </c>
      <c r="R203" s="20" t="s">
        <v>155</v>
      </c>
      <c r="S203" s="20" t="s">
        <v>148</v>
      </c>
      <c r="T203" s="20" t="s">
        <v>161</v>
      </c>
      <c r="U203" s="20"/>
    </row>
    <row r="204" s="3" customFormat="1" ht="115" customHeight="1" spans="1:21">
      <c r="A204" s="20">
        <f t="shared" si="23"/>
        <v>199</v>
      </c>
      <c r="B204" s="20" t="s">
        <v>64</v>
      </c>
      <c r="C204" s="22" t="s">
        <v>65</v>
      </c>
      <c r="D204" s="20" t="s">
        <v>66</v>
      </c>
      <c r="E204" s="20" t="s">
        <v>897</v>
      </c>
      <c r="F204" s="21" t="s">
        <v>898</v>
      </c>
      <c r="G204" s="20" t="s">
        <v>220</v>
      </c>
      <c r="H204" s="20" t="s">
        <v>221</v>
      </c>
      <c r="I204" s="23">
        <f t="shared" si="24"/>
        <v>75</v>
      </c>
      <c r="J204" s="23">
        <v>75</v>
      </c>
      <c r="K204" s="20"/>
      <c r="L204" s="20" t="s">
        <v>145</v>
      </c>
      <c r="M204" s="20">
        <v>612</v>
      </c>
      <c r="N204" s="20">
        <v>1439</v>
      </c>
      <c r="O204" s="20">
        <v>21</v>
      </c>
      <c r="P204" s="20">
        <v>30</v>
      </c>
      <c r="Q204" s="21" t="s">
        <v>899</v>
      </c>
      <c r="R204" s="20" t="s">
        <v>223</v>
      </c>
      <c r="S204" s="20" t="s">
        <v>148</v>
      </c>
      <c r="T204" s="20" t="s">
        <v>251</v>
      </c>
      <c r="U204" s="20"/>
    </row>
    <row r="205" s="3" customFormat="1" ht="99" customHeight="1" spans="1:21">
      <c r="A205" s="20">
        <f t="shared" si="23"/>
        <v>200</v>
      </c>
      <c r="B205" s="20" t="s">
        <v>64</v>
      </c>
      <c r="C205" s="22" t="s">
        <v>65</v>
      </c>
      <c r="D205" s="22" t="s">
        <v>66</v>
      </c>
      <c r="E205" s="20" t="s">
        <v>900</v>
      </c>
      <c r="F205" s="21" t="s">
        <v>901</v>
      </c>
      <c r="G205" s="20" t="s">
        <v>220</v>
      </c>
      <c r="H205" s="22" t="s">
        <v>902</v>
      </c>
      <c r="I205" s="23">
        <f t="shared" si="24"/>
        <v>80</v>
      </c>
      <c r="J205" s="23">
        <v>80</v>
      </c>
      <c r="K205" s="20"/>
      <c r="L205" s="20" t="s">
        <v>145</v>
      </c>
      <c r="M205" s="20">
        <v>56</v>
      </c>
      <c r="N205" s="20">
        <v>123</v>
      </c>
      <c r="O205" s="20">
        <v>6</v>
      </c>
      <c r="P205" s="22">
        <v>6</v>
      </c>
      <c r="Q205" s="21" t="s">
        <v>903</v>
      </c>
      <c r="R205" s="20" t="s">
        <v>223</v>
      </c>
      <c r="S205" s="20" t="s">
        <v>148</v>
      </c>
      <c r="T205" s="20" t="s">
        <v>347</v>
      </c>
      <c r="U205" s="20"/>
    </row>
    <row r="206" s="3" customFormat="1" ht="87" customHeight="1" spans="1:21">
      <c r="A206" s="20">
        <f t="shared" si="23"/>
        <v>201</v>
      </c>
      <c r="B206" s="20" t="s">
        <v>64</v>
      </c>
      <c r="C206" s="22" t="s">
        <v>65</v>
      </c>
      <c r="D206" s="20" t="s">
        <v>66</v>
      </c>
      <c r="E206" s="20" t="s">
        <v>904</v>
      </c>
      <c r="F206" s="21" t="s">
        <v>905</v>
      </c>
      <c r="G206" s="20" t="s">
        <v>343</v>
      </c>
      <c r="H206" s="20" t="s">
        <v>344</v>
      </c>
      <c r="I206" s="23">
        <f t="shared" si="24"/>
        <v>135</v>
      </c>
      <c r="J206" s="29">
        <v>135</v>
      </c>
      <c r="K206" s="28"/>
      <c r="L206" s="28" t="s">
        <v>145</v>
      </c>
      <c r="M206" s="28">
        <v>47</v>
      </c>
      <c r="N206" s="28">
        <v>165</v>
      </c>
      <c r="O206" s="28">
        <v>1</v>
      </c>
      <c r="P206" s="28">
        <v>1</v>
      </c>
      <c r="Q206" s="21" t="s">
        <v>906</v>
      </c>
      <c r="R206" s="20" t="s">
        <v>346</v>
      </c>
      <c r="S206" s="20" t="s">
        <v>148</v>
      </c>
      <c r="T206" s="20" t="s">
        <v>347</v>
      </c>
      <c r="U206" s="20"/>
    </row>
    <row r="207" s="3" customFormat="1" ht="88" customHeight="1" spans="1:21">
      <c r="A207" s="20">
        <f t="shared" si="23"/>
        <v>202</v>
      </c>
      <c r="B207" s="20" t="s">
        <v>64</v>
      </c>
      <c r="C207" s="22" t="s">
        <v>65</v>
      </c>
      <c r="D207" s="20" t="s">
        <v>66</v>
      </c>
      <c r="E207" s="20" t="s">
        <v>907</v>
      </c>
      <c r="F207" s="21" t="s">
        <v>908</v>
      </c>
      <c r="G207" s="20" t="s">
        <v>343</v>
      </c>
      <c r="H207" s="20" t="s">
        <v>344</v>
      </c>
      <c r="I207" s="23">
        <f t="shared" si="24"/>
        <v>75</v>
      </c>
      <c r="J207" s="29">
        <v>75</v>
      </c>
      <c r="K207" s="28"/>
      <c r="L207" s="28" t="s">
        <v>145</v>
      </c>
      <c r="M207" s="28">
        <v>26</v>
      </c>
      <c r="N207" s="28">
        <v>80</v>
      </c>
      <c r="O207" s="28">
        <v>0</v>
      </c>
      <c r="P207" s="28">
        <v>0</v>
      </c>
      <c r="Q207" s="21" t="s">
        <v>909</v>
      </c>
      <c r="R207" s="20" t="s">
        <v>346</v>
      </c>
      <c r="S207" s="20" t="s">
        <v>148</v>
      </c>
      <c r="T207" s="20" t="s">
        <v>347</v>
      </c>
      <c r="U207" s="20"/>
    </row>
    <row r="208" s="3" customFormat="1" ht="89" customHeight="1" spans="1:21">
      <c r="A208" s="20">
        <f t="shared" ref="A208:A217" si="25">ROW()-5</f>
        <v>203</v>
      </c>
      <c r="B208" s="20" t="s">
        <v>64</v>
      </c>
      <c r="C208" s="22" t="s">
        <v>65</v>
      </c>
      <c r="D208" s="20" t="s">
        <v>66</v>
      </c>
      <c r="E208" s="20" t="s">
        <v>910</v>
      </c>
      <c r="F208" s="21" t="s">
        <v>911</v>
      </c>
      <c r="G208" s="20" t="s">
        <v>343</v>
      </c>
      <c r="H208" s="20" t="s">
        <v>912</v>
      </c>
      <c r="I208" s="23">
        <f t="shared" si="24"/>
        <v>45</v>
      </c>
      <c r="J208" s="23">
        <v>45</v>
      </c>
      <c r="K208" s="28"/>
      <c r="L208" s="20" t="s">
        <v>145</v>
      </c>
      <c r="M208" s="20">
        <v>15</v>
      </c>
      <c r="N208" s="20">
        <v>35</v>
      </c>
      <c r="O208" s="20">
        <v>0</v>
      </c>
      <c r="P208" s="20">
        <v>0</v>
      </c>
      <c r="Q208" s="21" t="s">
        <v>913</v>
      </c>
      <c r="R208" s="20" t="s">
        <v>346</v>
      </c>
      <c r="S208" s="20" t="s">
        <v>148</v>
      </c>
      <c r="T208" s="20" t="s">
        <v>347</v>
      </c>
      <c r="U208" s="20"/>
    </row>
    <row r="209" s="3" customFormat="1" ht="131" customHeight="1" spans="1:21">
      <c r="A209" s="20">
        <f t="shared" si="25"/>
        <v>204</v>
      </c>
      <c r="B209" s="20" t="s">
        <v>64</v>
      </c>
      <c r="C209" s="22" t="s">
        <v>65</v>
      </c>
      <c r="D209" s="20" t="s">
        <v>66</v>
      </c>
      <c r="E209" s="20" t="s">
        <v>914</v>
      </c>
      <c r="F209" s="21" t="s">
        <v>915</v>
      </c>
      <c r="G209" s="20" t="s">
        <v>178</v>
      </c>
      <c r="H209" s="20" t="s">
        <v>259</v>
      </c>
      <c r="I209" s="23">
        <f t="shared" si="24"/>
        <v>60</v>
      </c>
      <c r="J209" s="23">
        <v>60</v>
      </c>
      <c r="K209" s="20"/>
      <c r="L209" s="20" t="s">
        <v>145</v>
      </c>
      <c r="M209" s="20">
        <v>40</v>
      </c>
      <c r="N209" s="20">
        <v>110</v>
      </c>
      <c r="O209" s="20">
        <v>4</v>
      </c>
      <c r="P209" s="20">
        <v>11</v>
      </c>
      <c r="Q209" s="21" t="s">
        <v>916</v>
      </c>
      <c r="R209" s="20" t="s">
        <v>181</v>
      </c>
      <c r="S209" s="20" t="s">
        <v>148</v>
      </c>
      <c r="T209" s="20" t="s">
        <v>917</v>
      </c>
      <c r="U209" s="28"/>
    </row>
    <row r="210" s="3" customFormat="1" ht="131" customHeight="1" spans="1:21">
      <c r="A210" s="20">
        <f t="shared" si="25"/>
        <v>205</v>
      </c>
      <c r="B210" s="20" t="s">
        <v>64</v>
      </c>
      <c r="C210" s="22" t="s">
        <v>65</v>
      </c>
      <c r="D210" s="20" t="s">
        <v>66</v>
      </c>
      <c r="E210" s="20" t="s">
        <v>918</v>
      </c>
      <c r="F210" s="21" t="s">
        <v>919</v>
      </c>
      <c r="G210" s="20" t="s">
        <v>178</v>
      </c>
      <c r="H210" s="20" t="s">
        <v>254</v>
      </c>
      <c r="I210" s="23">
        <f t="shared" si="24"/>
        <v>125</v>
      </c>
      <c r="J210" s="23">
        <v>125</v>
      </c>
      <c r="K210" s="20"/>
      <c r="L210" s="20" t="s">
        <v>145</v>
      </c>
      <c r="M210" s="20">
        <v>34</v>
      </c>
      <c r="N210" s="20">
        <v>99</v>
      </c>
      <c r="O210" s="20">
        <v>7</v>
      </c>
      <c r="P210" s="20">
        <v>17</v>
      </c>
      <c r="Q210" s="21" t="s">
        <v>920</v>
      </c>
      <c r="R210" s="20" t="s">
        <v>181</v>
      </c>
      <c r="S210" s="20" t="s">
        <v>148</v>
      </c>
      <c r="T210" s="20" t="s">
        <v>921</v>
      </c>
      <c r="U210" s="28"/>
    </row>
    <row r="211" s="3" customFormat="1" ht="131" customHeight="1" spans="1:21">
      <c r="A211" s="20">
        <f t="shared" si="25"/>
        <v>206</v>
      </c>
      <c r="B211" s="20" t="s">
        <v>64</v>
      </c>
      <c r="C211" s="22" t="s">
        <v>65</v>
      </c>
      <c r="D211" s="20" t="s">
        <v>66</v>
      </c>
      <c r="E211" s="20" t="s">
        <v>922</v>
      </c>
      <c r="F211" s="21" t="s">
        <v>923</v>
      </c>
      <c r="G211" s="20" t="s">
        <v>178</v>
      </c>
      <c r="H211" s="20" t="s">
        <v>254</v>
      </c>
      <c r="I211" s="23">
        <f t="shared" si="24"/>
        <v>40</v>
      </c>
      <c r="J211" s="23">
        <v>40</v>
      </c>
      <c r="K211" s="20"/>
      <c r="L211" s="20" t="s">
        <v>145</v>
      </c>
      <c r="M211" s="20">
        <v>354</v>
      </c>
      <c r="N211" s="20">
        <v>939</v>
      </c>
      <c r="O211" s="20">
        <v>38</v>
      </c>
      <c r="P211" s="20">
        <v>71</v>
      </c>
      <c r="Q211" s="21" t="s">
        <v>924</v>
      </c>
      <c r="R211" s="20" t="s">
        <v>181</v>
      </c>
      <c r="S211" s="20" t="s">
        <v>148</v>
      </c>
      <c r="T211" s="20" t="s">
        <v>925</v>
      </c>
      <c r="U211" s="28"/>
    </row>
    <row r="212" s="3" customFormat="1" ht="83" customHeight="1" spans="1:21">
      <c r="A212" s="20">
        <f t="shared" si="25"/>
        <v>207</v>
      </c>
      <c r="B212" s="20" t="s">
        <v>64</v>
      </c>
      <c r="C212" s="22" t="s">
        <v>65</v>
      </c>
      <c r="D212" s="20" t="s">
        <v>66</v>
      </c>
      <c r="E212" s="20" t="s">
        <v>926</v>
      </c>
      <c r="F212" s="21" t="s">
        <v>927</v>
      </c>
      <c r="G212" s="20" t="s">
        <v>178</v>
      </c>
      <c r="H212" s="20" t="s">
        <v>928</v>
      </c>
      <c r="I212" s="23">
        <f t="shared" si="24"/>
        <v>187.5</v>
      </c>
      <c r="J212" s="23">
        <v>187.5</v>
      </c>
      <c r="K212" s="20"/>
      <c r="L212" s="20" t="s">
        <v>145</v>
      </c>
      <c r="M212" s="20">
        <v>26</v>
      </c>
      <c r="N212" s="20">
        <v>71</v>
      </c>
      <c r="O212" s="20">
        <v>2</v>
      </c>
      <c r="P212" s="20">
        <v>5</v>
      </c>
      <c r="Q212" s="21" t="s">
        <v>929</v>
      </c>
      <c r="R212" s="20" t="s">
        <v>181</v>
      </c>
      <c r="S212" s="20" t="s">
        <v>148</v>
      </c>
      <c r="T212" s="20" t="s">
        <v>917</v>
      </c>
      <c r="U212" s="28"/>
    </row>
    <row r="213" s="3" customFormat="1" ht="83" customHeight="1" spans="1:21">
      <c r="A213" s="20">
        <f t="shared" si="25"/>
        <v>208</v>
      </c>
      <c r="B213" s="20" t="s">
        <v>64</v>
      </c>
      <c r="C213" s="22" t="s">
        <v>65</v>
      </c>
      <c r="D213" s="20" t="s">
        <v>66</v>
      </c>
      <c r="E213" s="20" t="s">
        <v>930</v>
      </c>
      <c r="F213" s="21" t="s">
        <v>931</v>
      </c>
      <c r="G213" s="20" t="s">
        <v>178</v>
      </c>
      <c r="H213" s="20" t="s">
        <v>437</v>
      </c>
      <c r="I213" s="23">
        <f t="shared" si="24"/>
        <v>75</v>
      </c>
      <c r="J213" s="23">
        <v>75</v>
      </c>
      <c r="K213" s="20"/>
      <c r="L213" s="20" t="s">
        <v>145</v>
      </c>
      <c r="M213" s="20">
        <v>56</v>
      </c>
      <c r="N213" s="20">
        <v>149</v>
      </c>
      <c r="O213" s="20">
        <v>2</v>
      </c>
      <c r="P213" s="20">
        <v>7</v>
      </c>
      <c r="Q213" s="21" t="s">
        <v>932</v>
      </c>
      <c r="R213" s="20" t="s">
        <v>181</v>
      </c>
      <c r="S213" s="20" t="s">
        <v>148</v>
      </c>
      <c r="T213" s="20" t="s">
        <v>917</v>
      </c>
      <c r="U213" s="28"/>
    </row>
    <row r="214" s="3" customFormat="1" ht="83" customHeight="1" spans="1:21">
      <c r="A214" s="20">
        <f t="shared" si="25"/>
        <v>209</v>
      </c>
      <c r="B214" s="20" t="s">
        <v>64</v>
      </c>
      <c r="C214" s="22" t="s">
        <v>65</v>
      </c>
      <c r="D214" s="20" t="s">
        <v>66</v>
      </c>
      <c r="E214" s="20" t="s">
        <v>933</v>
      </c>
      <c r="F214" s="21" t="s">
        <v>934</v>
      </c>
      <c r="G214" s="20" t="s">
        <v>272</v>
      </c>
      <c r="H214" s="20" t="s">
        <v>602</v>
      </c>
      <c r="I214" s="23">
        <f t="shared" si="24"/>
        <v>176</v>
      </c>
      <c r="J214" s="23">
        <v>176</v>
      </c>
      <c r="K214" s="20">
        <v>0</v>
      </c>
      <c r="L214" s="20" t="s">
        <v>145</v>
      </c>
      <c r="M214" s="20">
        <v>125</v>
      </c>
      <c r="N214" s="20">
        <v>344</v>
      </c>
      <c r="O214" s="20">
        <v>3</v>
      </c>
      <c r="P214" s="20">
        <v>3</v>
      </c>
      <c r="Q214" s="21" t="s">
        <v>935</v>
      </c>
      <c r="R214" s="20" t="s">
        <v>275</v>
      </c>
      <c r="S214" s="20" t="s">
        <v>148</v>
      </c>
      <c r="T214" s="20" t="s">
        <v>276</v>
      </c>
      <c r="U214" s="20"/>
    </row>
    <row r="215" s="3" customFormat="1" ht="83" customHeight="1" spans="1:21">
      <c r="A215" s="20">
        <f t="shared" si="25"/>
        <v>210</v>
      </c>
      <c r="B215" s="20" t="s">
        <v>64</v>
      </c>
      <c r="C215" s="22" t="s">
        <v>65</v>
      </c>
      <c r="D215" s="20" t="s">
        <v>66</v>
      </c>
      <c r="E215" s="20" t="s">
        <v>936</v>
      </c>
      <c r="F215" s="21" t="s">
        <v>937</v>
      </c>
      <c r="G215" s="20" t="s">
        <v>272</v>
      </c>
      <c r="H215" s="20" t="s">
        <v>602</v>
      </c>
      <c r="I215" s="23">
        <f t="shared" si="24"/>
        <v>105</v>
      </c>
      <c r="J215" s="23">
        <v>105</v>
      </c>
      <c r="K215" s="20">
        <v>0</v>
      </c>
      <c r="L215" s="20" t="s">
        <v>145</v>
      </c>
      <c r="M215" s="20">
        <v>47</v>
      </c>
      <c r="N215" s="20">
        <v>118</v>
      </c>
      <c r="O215" s="20">
        <v>0</v>
      </c>
      <c r="P215" s="20">
        <v>0</v>
      </c>
      <c r="Q215" s="21" t="s">
        <v>938</v>
      </c>
      <c r="R215" s="20" t="s">
        <v>275</v>
      </c>
      <c r="S215" s="20" t="s">
        <v>148</v>
      </c>
      <c r="T215" s="20" t="s">
        <v>276</v>
      </c>
      <c r="U215" s="20"/>
    </row>
    <row r="216" ht="90" customHeight="1" spans="1:21">
      <c r="A216" s="20">
        <f t="shared" si="25"/>
        <v>211</v>
      </c>
      <c r="B216" s="20" t="s">
        <v>64</v>
      </c>
      <c r="C216" s="20" t="s">
        <v>65</v>
      </c>
      <c r="D216" s="20" t="s">
        <v>66</v>
      </c>
      <c r="E216" s="20" t="s">
        <v>939</v>
      </c>
      <c r="F216" s="21" t="s">
        <v>940</v>
      </c>
      <c r="G216" s="20" t="s">
        <v>279</v>
      </c>
      <c r="H216" s="20" t="s">
        <v>522</v>
      </c>
      <c r="I216" s="23">
        <f t="shared" si="24"/>
        <v>40</v>
      </c>
      <c r="J216" s="23">
        <v>40</v>
      </c>
      <c r="K216" s="20"/>
      <c r="L216" s="20" t="s">
        <v>145</v>
      </c>
      <c r="M216" s="20">
        <v>134</v>
      </c>
      <c r="N216" s="20">
        <v>210</v>
      </c>
      <c r="O216" s="20">
        <v>5</v>
      </c>
      <c r="P216" s="20">
        <v>5</v>
      </c>
      <c r="Q216" s="21" t="s">
        <v>941</v>
      </c>
      <c r="R216" s="20" t="s">
        <v>282</v>
      </c>
      <c r="S216" s="20" t="s">
        <v>148</v>
      </c>
      <c r="T216" s="20" t="s">
        <v>608</v>
      </c>
      <c r="U216" s="28"/>
    </row>
    <row r="217" ht="90" customHeight="1" spans="1:21">
      <c r="A217" s="20">
        <f t="shared" si="25"/>
        <v>212</v>
      </c>
      <c r="B217" s="20" t="s">
        <v>64</v>
      </c>
      <c r="C217" s="20" t="s">
        <v>65</v>
      </c>
      <c r="D217" s="20" t="s">
        <v>66</v>
      </c>
      <c r="E217" s="20" t="s">
        <v>942</v>
      </c>
      <c r="F217" s="21" t="s">
        <v>943</v>
      </c>
      <c r="G217" s="20" t="s">
        <v>279</v>
      </c>
      <c r="H217" s="20" t="s">
        <v>522</v>
      </c>
      <c r="I217" s="23">
        <f t="shared" si="24"/>
        <v>80</v>
      </c>
      <c r="J217" s="23">
        <v>80</v>
      </c>
      <c r="K217" s="20"/>
      <c r="L217" s="20" t="s">
        <v>145</v>
      </c>
      <c r="M217" s="20">
        <v>347</v>
      </c>
      <c r="N217" s="20">
        <v>542</v>
      </c>
      <c r="O217" s="20">
        <v>6</v>
      </c>
      <c r="P217" s="20">
        <v>8</v>
      </c>
      <c r="Q217" s="21" t="s">
        <v>944</v>
      </c>
      <c r="R217" s="20" t="s">
        <v>282</v>
      </c>
      <c r="S217" s="20" t="s">
        <v>148</v>
      </c>
      <c r="T217" s="20" t="s">
        <v>608</v>
      </c>
      <c r="U217" s="28"/>
    </row>
    <row r="218" ht="90" customHeight="1" spans="1:21">
      <c r="A218" s="20">
        <f t="shared" ref="A218:A227" si="26">ROW()-5</f>
        <v>213</v>
      </c>
      <c r="B218" s="20" t="s">
        <v>64</v>
      </c>
      <c r="C218" s="20" t="s">
        <v>65</v>
      </c>
      <c r="D218" s="20" t="s">
        <v>66</v>
      </c>
      <c r="E218" s="20" t="s">
        <v>945</v>
      </c>
      <c r="F218" s="21" t="s">
        <v>946</v>
      </c>
      <c r="G218" s="20" t="s">
        <v>279</v>
      </c>
      <c r="H218" s="20" t="s">
        <v>518</v>
      </c>
      <c r="I218" s="23">
        <f t="shared" si="24"/>
        <v>16</v>
      </c>
      <c r="J218" s="23">
        <v>16</v>
      </c>
      <c r="K218" s="20"/>
      <c r="L218" s="20" t="s">
        <v>145</v>
      </c>
      <c r="M218" s="20">
        <v>135</v>
      </c>
      <c r="N218" s="20">
        <v>480</v>
      </c>
      <c r="O218" s="20">
        <v>2</v>
      </c>
      <c r="P218" s="20">
        <v>8</v>
      </c>
      <c r="Q218" s="21" t="s">
        <v>947</v>
      </c>
      <c r="R218" s="20" t="s">
        <v>282</v>
      </c>
      <c r="S218" s="20" t="s">
        <v>148</v>
      </c>
      <c r="T218" s="20" t="s">
        <v>698</v>
      </c>
      <c r="U218" s="28"/>
    </row>
    <row r="219" s="2" customFormat="1" ht="87" customHeight="1" spans="1:21">
      <c r="A219" s="20">
        <f t="shared" si="26"/>
        <v>214</v>
      </c>
      <c r="B219" s="20" t="s">
        <v>64</v>
      </c>
      <c r="C219" s="20" t="s">
        <v>65</v>
      </c>
      <c r="D219" s="20" t="s">
        <v>66</v>
      </c>
      <c r="E219" s="20" t="s">
        <v>948</v>
      </c>
      <c r="F219" s="21" t="s">
        <v>949</v>
      </c>
      <c r="G219" s="20" t="s">
        <v>185</v>
      </c>
      <c r="H219" s="20" t="s">
        <v>812</v>
      </c>
      <c r="I219" s="23">
        <f t="shared" si="24"/>
        <v>15</v>
      </c>
      <c r="J219" s="23">
        <v>15</v>
      </c>
      <c r="K219" s="20"/>
      <c r="L219" s="20" t="s">
        <v>145</v>
      </c>
      <c r="M219" s="20">
        <v>515</v>
      </c>
      <c r="N219" s="28">
        <v>1506</v>
      </c>
      <c r="O219" s="20">
        <v>32</v>
      </c>
      <c r="P219" s="28">
        <v>66</v>
      </c>
      <c r="Q219" s="21" t="s">
        <v>950</v>
      </c>
      <c r="R219" s="20" t="s">
        <v>188</v>
      </c>
      <c r="S219" s="20" t="s">
        <v>148</v>
      </c>
      <c r="T219" s="20" t="s">
        <v>189</v>
      </c>
      <c r="U219" s="20"/>
    </row>
    <row r="220" s="2" customFormat="1" ht="87" customHeight="1" spans="1:21">
      <c r="A220" s="20">
        <f t="shared" si="26"/>
        <v>215</v>
      </c>
      <c r="B220" s="20" t="s">
        <v>64</v>
      </c>
      <c r="C220" s="20" t="s">
        <v>65</v>
      </c>
      <c r="D220" s="20" t="s">
        <v>66</v>
      </c>
      <c r="E220" s="20" t="s">
        <v>951</v>
      </c>
      <c r="F220" s="21" t="s">
        <v>952</v>
      </c>
      <c r="G220" s="20" t="s">
        <v>185</v>
      </c>
      <c r="H220" s="20" t="s">
        <v>953</v>
      </c>
      <c r="I220" s="23">
        <f t="shared" si="24"/>
        <v>29</v>
      </c>
      <c r="J220" s="23">
        <v>29</v>
      </c>
      <c r="K220" s="28"/>
      <c r="L220" s="20" t="s">
        <v>145</v>
      </c>
      <c r="M220" s="20">
        <v>342</v>
      </c>
      <c r="N220" s="28">
        <v>845</v>
      </c>
      <c r="O220" s="28">
        <v>17</v>
      </c>
      <c r="P220" s="28">
        <v>26</v>
      </c>
      <c r="Q220" s="21" t="s">
        <v>954</v>
      </c>
      <c r="R220" s="20" t="s">
        <v>188</v>
      </c>
      <c r="S220" s="20" t="s">
        <v>148</v>
      </c>
      <c r="T220" s="20" t="s">
        <v>189</v>
      </c>
      <c r="U220" s="20"/>
    </row>
    <row r="221" ht="87" customHeight="1" spans="1:21">
      <c r="A221" s="20">
        <f t="shared" si="26"/>
        <v>216</v>
      </c>
      <c r="B221" s="20" t="s">
        <v>64</v>
      </c>
      <c r="C221" s="20" t="s">
        <v>65</v>
      </c>
      <c r="D221" s="20" t="s">
        <v>66</v>
      </c>
      <c r="E221" s="20" t="s">
        <v>955</v>
      </c>
      <c r="F221" s="21" t="s">
        <v>956</v>
      </c>
      <c r="G221" s="20" t="s">
        <v>185</v>
      </c>
      <c r="H221" s="20" t="s">
        <v>808</v>
      </c>
      <c r="I221" s="23">
        <f t="shared" si="24"/>
        <v>10</v>
      </c>
      <c r="J221" s="29">
        <v>10</v>
      </c>
      <c r="K221" s="28"/>
      <c r="L221" s="20" t="s">
        <v>145</v>
      </c>
      <c r="M221" s="28">
        <v>14</v>
      </c>
      <c r="N221" s="28">
        <v>50</v>
      </c>
      <c r="O221" s="28">
        <v>10</v>
      </c>
      <c r="P221" s="28">
        <v>14</v>
      </c>
      <c r="Q221" s="21" t="s">
        <v>957</v>
      </c>
      <c r="R221" s="20" t="s">
        <v>188</v>
      </c>
      <c r="S221" s="20" t="s">
        <v>148</v>
      </c>
      <c r="T221" s="20" t="s">
        <v>189</v>
      </c>
      <c r="U221" s="28"/>
    </row>
    <row r="222" s="2" customFormat="1" ht="87" customHeight="1" spans="1:21">
      <c r="A222" s="20">
        <f t="shared" si="26"/>
        <v>217</v>
      </c>
      <c r="B222" s="20" t="s">
        <v>64</v>
      </c>
      <c r="C222" s="20" t="s">
        <v>65</v>
      </c>
      <c r="D222" s="20" t="s">
        <v>66</v>
      </c>
      <c r="E222" s="20" t="s">
        <v>958</v>
      </c>
      <c r="F222" s="21" t="s">
        <v>959</v>
      </c>
      <c r="G222" s="20" t="s">
        <v>185</v>
      </c>
      <c r="H222" s="20" t="s">
        <v>497</v>
      </c>
      <c r="I222" s="23">
        <f t="shared" si="24"/>
        <v>120.5</v>
      </c>
      <c r="J222" s="23">
        <v>120.5</v>
      </c>
      <c r="K222" s="20"/>
      <c r="L222" s="20" t="s">
        <v>145</v>
      </c>
      <c r="M222" s="20">
        <v>220</v>
      </c>
      <c r="N222" s="28">
        <v>562</v>
      </c>
      <c r="O222" s="20">
        <v>9</v>
      </c>
      <c r="P222" s="28">
        <v>11</v>
      </c>
      <c r="Q222" s="21" t="s">
        <v>960</v>
      </c>
      <c r="R222" s="20" t="s">
        <v>188</v>
      </c>
      <c r="S222" s="20" t="s">
        <v>148</v>
      </c>
      <c r="T222" s="20" t="s">
        <v>189</v>
      </c>
      <c r="U222" s="20"/>
    </row>
    <row r="223" s="2" customFormat="1" ht="83" customHeight="1" spans="1:21">
      <c r="A223" s="20">
        <f t="shared" si="26"/>
        <v>218</v>
      </c>
      <c r="B223" s="20" t="s">
        <v>64</v>
      </c>
      <c r="C223" s="20" t="s">
        <v>65</v>
      </c>
      <c r="D223" s="20" t="s">
        <v>66</v>
      </c>
      <c r="E223" s="20" t="s">
        <v>961</v>
      </c>
      <c r="F223" s="21" t="s">
        <v>962</v>
      </c>
      <c r="G223" s="20" t="s">
        <v>185</v>
      </c>
      <c r="H223" s="20" t="s">
        <v>963</v>
      </c>
      <c r="I223" s="23">
        <f t="shared" si="24"/>
        <v>42</v>
      </c>
      <c r="J223" s="23">
        <v>42</v>
      </c>
      <c r="K223" s="20"/>
      <c r="L223" s="20" t="s">
        <v>145</v>
      </c>
      <c r="M223" s="20">
        <v>166</v>
      </c>
      <c r="N223" s="20">
        <v>487</v>
      </c>
      <c r="O223" s="20">
        <v>2</v>
      </c>
      <c r="P223" s="20">
        <v>2</v>
      </c>
      <c r="Q223" s="21" t="s">
        <v>964</v>
      </c>
      <c r="R223" s="20" t="s">
        <v>188</v>
      </c>
      <c r="S223" s="20" t="s">
        <v>148</v>
      </c>
      <c r="T223" s="20" t="s">
        <v>189</v>
      </c>
      <c r="U223" s="20"/>
    </row>
    <row r="224" s="2" customFormat="1" ht="83" customHeight="1" spans="1:21">
      <c r="A224" s="20">
        <f t="shared" si="26"/>
        <v>219</v>
      </c>
      <c r="B224" s="20" t="s">
        <v>64</v>
      </c>
      <c r="C224" s="20" t="s">
        <v>65</v>
      </c>
      <c r="D224" s="20" t="s">
        <v>66</v>
      </c>
      <c r="E224" s="20" t="s">
        <v>965</v>
      </c>
      <c r="F224" s="21" t="s">
        <v>966</v>
      </c>
      <c r="G224" s="20" t="s">
        <v>185</v>
      </c>
      <c r="H224" s="20" t="s">
        <v>967</v>
      </c>
      <c r="I224" s="23">
        <f t="shared" si="24"/>
        <v>112.5</v>
      </c>
      <c r="J224" s="23">
        <v>112.5</v>
      </c>
      <c r="K224" s="20"/>
      <c r="L224" s="20" t="s">
        <v>145</v>
      </c>
      <c r="M224" s="20">
        <v>126</v>
      </c>
      <c r="N224" s="20">
        <v>344</v>
      </c>
      <c r="O224" s="20">
        <v>6</v>
      </c>
      <c r="P224" s="20">
        <v>12</v>
      </c>
      <c r="Q224" s="21" t="s">
        <v>968</v>
      </c>
      <c r="R224" s="20" t="s">
        <v>188</v>
      </c>
      <c r="S224" s="20" t="s">
        <v>148</v>
      </c>
      <c r="T224" s="20" t="s">
        <v>189</v>
      </c>
      <c r="U224" s="20"/>
    </row>
    <row r="225" s="2" customFormat="1" ht="83" customHeight="1" spans="1:21">
      <c r="A225" s="20">
        <f t="shared" si="26"/>
        <v>220</v>
      </c>
      <c r="B225" s="20" t="s">
        <v>64</v>
      </c>
      <c r="C225" s="20" t="s">
        <v>65</v>
      </c>
      <c r="D225" s="20" t="s">
        <v>66</v>
      </c>
      <c r="E225" s="20" t="s">
        <v>969</v>
      </c>
      <c r="F225" s="21" t="s">
        <v>970</v>
      </c>
      <c r="G225" s="20" t="s">
        <v>185</v>
      </c>
      <c r="H225" s="20" t="s">
        <v>290</v>
      </c>
      <c r="I225" s="23">
        <f t="shared" si="24"/>
        <v>70</v>
      </c>
      <c r="J225" s="29">
        <v>70</v>
      </c>
      <c r="K225" s="28"/>
      <c r="L225" s="20" t="s">
        <v>145</v>
      </c>
      <c r="M225" s="28">
        <v>50</v>
      </c>
      <c r="N225" s="28">
        <v>120</v>
      </c>
      <c r="O225" s="28">
        <v>0</v>
      </c>
      <c r="P225" s="28">
        <v>0</v>
      </c>
      <c r="Q225" s="21" t="s">
        <v>971</v>
      </c>
      <c r="R225" s="20" t="s">
        <v>188</v>
      </c>
      <c r="S225" s="20" t="s">
        <v>148</v>
      </c>
      <c r="T225" s="20" t="s">
        <v>189</v>
      </c>
      <c r="U225" s="20"/>
    </row>
    <row r="226" ht="83" customHeight="1" spans="1:21">
      <c r="A226" s="20">
        <f t="shared" si="26"/>
        <v>221</v>
      </c>
      <c r="B226" s="20" t="s">
        <v>64</v>
      </c>
      <c r="C226" s="20" t="s">
        <v>65</v>
      </c>
      <c r="D226" s="20" t="s">
        <v>66</v>
      </c>
      <c r="E226" s="20" t="s">
        <v>972</v>
      </c>
      <c r="F226" s="21" t="s">
        <v>973</v>
      </c>
      <c r="G226" s="20" t="s">
        <v>185</v>
      </c>
      <c r="H226" s="20" t="s">
        <v>497</v>
      </c>
      <c r="I226" s="23">
        <f t="shared" si="24"/>
        <v>12</v>
      </c>
      <c r="J226" s="23">
        <v>12</v>
      </c>
      <c r="K226" s="20"/>
      <c r="L226" s="20" t="s">
        <v>145</v>
      </c>
      <c r="M226" s="20">
        <v>220</v>
      </c>
      <c r="N226" s="28">
        <v>562</v>
      </c>
      <c r="O226" s="20">
        <v>9</v>
      </c>
      <c r="P226" s="28">
        <v>11</v>
      </c>
      <c r="Q226" s="21" t="s">
        <v>974</v>
      </c>
      <c r="R226" s="20" t="s">
        <v>188</v>
      </c>
      <c r="S226" s="20" t="s">
        <v>148</v>
      </c>
      <c r="T226" s="20" t="s">
        <v>189</v>
      </c>
      <c r="U226" s="28"/>
    </row>
    <row r="227" ht="83" customHeight="1" spans="1:21">
      <c r="A227" s="20">
        <f t="shared" si="26"/>
        <v>222</v>
      </c>
      <c r="B227" s="20" t="s">
        <v>64</v>
      </c>
      <c r="C227" s="20" t="s">
        <v>65</v>
      </c>
      <c r="D227" s="20" t="s">
        <v>66</v>
      </c>
      <c r="E227" s="20" t="s">
        <v>975</v>
      </c>
      <c r="F227" s="21" t="s">
        <v>976</v>
      </c>
      <c r="G227" s="20" t="s">
        <v>185</v>
      </c>
      <c r="H227" s="20" t="s">
        <v>977</v>
      </c>
      <c r="I227" s="23">
        <f t="shared" si="24"/>
        <v>12.75</v>
      </c>
      <c r="J227" s="23">
        <v>12.75</v>
      </c>
      <c r="K227" s="20"/>
      <c r="L227" s="20" t="s">
        <v>145</v>
      </c>
      <c r="M227" s="20">
        <v>45</v>
      </c>
      <c r="N227" s="28">
        <v>140</v>
      </c>
      <c r="O227" s="28">
        <v>6</v>
      </c>
      <c r="P227" s="28">
        <v>14</v>
      </c>
      <c r="Q227" s="21" t="s">
        <v>978</v>
      </c>
      <c r="R227" s="20" t="s">
        <v>188</v>
      </c>
      <c r="S227" s="20" t="s">
        <v>148</v>
      </c>
      <c r="T227" s="20" t="s">
        <v>189</v>
      </c>
      <c r="U227" s="28"/>
    </row>
    <row r="228" ht="82" customHeight="1" spans="1:21">
      <c r="A228" s="20">
        <f t="shared" ref="A228:A237" si="27">ROW()-5</f>
        <v>223</v>
      </c>
      <c r="B228" s="20" t="s">
        <v>64</v>
      </c>
      <c r="C228" s="20" t="s">
        <v>65</v>
      </c>
      <c r="D228" s="20" t="s">
        <v>66</v>
      </c>
      <c r="E228" s="20" t="s">
        <v>979</v>
      </c>
      <c r="F228" s="21" t="s">
        <v>980</v>
      </c>
      <c r="G228" s="20" t="s">
        <v>185</v>
      </c>
      <c r="H228" s="20" t="s">
        <v>808</v>
      </c>
      <c r="I228" s="23">
        <f t="shared" si="24"/>
        <v>60</v>
      </c>
      <c r="J228" s="29">
        <v>60</v>
      </c>
      <c r="K228" s="28"/>
      <c r="L228" s="20" t="s">
        <v>145</v>
      </c>
      <c r="M228" s="28">
        <v>233</v>
      </c>
      <c r="N228" s="28">
        <v>586</v>
      </c>
      <c r="O228" s="28">
        <v>10</v>
      </c>
      <c r="P228" s="28">
        <v>14</v>
      </c>
      <c r="Q228" s="21" t="s">
        <v>981</v>
      </c>
      <c r="R228" s="20" t="s">
        <v>188</v>
      </c>
      <c r="S228" s="20" t="s">
        <v>148</v>
      </c>
      <c r="T228" s="20" t="s">
        <v>189</v>
      </c>
      <c r="U228" s="28"/>
    </row>
    <row r="229" s="2" customFormat="1" ht="100" customHeight="1" spans="1:21">
      <c r="A229" s="20">
        <f t="shared" si="27"/>
        <v>224</v>
      </c>
      <c r="B229" s="20" t="s">
        <v>64</v>
      </c>
      <c r="C229" s="22" t="s">
        <v>65</v>
      </c>
      <c r="D229" s="20" t="s">
        <v>66</v>
      </c>
      <c r="E229" s="20" t="s">
        <v>982</v>
      </c>
      <c r="F229" s="21" t="s">
        <v>983</v>
      </c>
      <c r="G229" s="20" t="s">
        <v>692</v>
      </c>
      <c r="H229" s="20" t="s">
        <v>984</v>
      </c>
      <c r="I229" s="23">
        <f t="shared" si="24"/>
        <v>120</v>
      </c>
      <c r="J229" s="29">
        <v>120</v>
      </c>
      <c r="K229" s="20">
        <v>0</v>
      </c>
      <c r="L229" s="28" t="s">
        <v>145</v>
      </c>
      <c r="M229" s="28">
        <v>87</v>
      </c>
      <c r="N229" s="28">
        <v>243</v>
      </c>
      <c r="O229" s="28">
        <v>3</v>
      </c>
      <c r="P229" s="28">
        <v>3</v>
      </c>
      <c r="Q229" s="21" t="s">
        <v>985</v>
      </c>
      <c r="R229" s="20" t="s">
        <v>694</v>
      </c>
      <c r="S229" s="20" t="s">
        <v>148</v>
      </c>
      <c r="T229" s="20" t="s">
        <v>320</v>
      </c>
      <c r="U229" s="20"/>
    </row>
    <row r="230" s="2" customFormat="1" ht="80" customHeight="1" spans="1:21">
      <c r="A230" s="20">
        <f t="shared" si="27"/>
        <v>225</v>
      </c>
      <c r="B230" s="20" t="s">
        <v>64</v>
      </c>
      <c r="C230" s="22" t="s">
        <v>65</v>
      </c>
      <c r="D230" s="20" t="s">
        <v>66</v>
      </c>
      <c r="E230" s="20" t="s">
        <v>986</v>
      </c>
      <c r="F230" s="21" t="s">
        <v>987</v>
      </c>
      <c r="G230" s="20" t="s">
        <v>692</v>
      </c>
      <c r="H230" s="20" t="s">
        <v>984</v>
      </c>
      <c r="I230" s="23">
        <f t="shared" si="24"/>
        <v>55</v>
      </c>
      <c r="J230" s="29">
        <v>55</v>
      </c>
      <c r="K230" s="20">
        <v>0</v>
      </c>
      <c r="L230" s="28" t="s">
        <v>145</v>
      </c>
      <c r="M230" s="28">
        <v>34</v>
      </c>
      <c r="N230" s="28">
        <v>86</v>
      </c>
      <c r="O230" s="28">
        <v>0</v>
      </c>
      <c r="P230" s="28">
        <v>0</v>
      </c>
      <c r="Q230" s="21" t="s">
        <v>988</v>
      </c>
      <c r="R230" s="20" t="s">
        <v>694</v>
      </c>
      <c r="S230" s="20" t="s">
        <v>148</v>
      </c>
      <c r="T230" s="20" t="s">
        <v>320</v>
      </c>
      <c r="U230" s="20"/>
    </row>
    <row r="231" s="4" customFormat="1" ht="96.6" customHeight="1" spans="1:21">
      <c r="A231" s="20">
        <f t="shared" si="27"/>
        <v>226</v>
      </c>
      <c r="B231" s="20" t="s">
        <v>64</v>
      </c>
      <c r="C231" s="20" t="s">
        <v>65</v>
      </c>
      <c r="D231" s="20" t="s">
        <v>66</v>
      </c>
      <c r="E231" s="20" t="s">
        <v>989</v>
      </c>
      <c r="F231" s="21" t="s">
        <v>990</v>
      </c>
      <c r="G231" s="20" t="s">
        <v>171</v>
      </c>
      <c r="H231" s="20" t="s">
        <v>991</v>
      </c>
      <c r="I231" s="23">
        <f t="shared" si="24"/>
        <v>60</v>
      </c>
      <c r="J231" s="23">
        <v>60</v>
      </c>
      <c r="K231" s="28"/>
      <c r="L231" s="28" t="s">
        <v>145</v>
      </c>
      <c r="M231" s="28">
        <v>36</v>
      </c>
      <c r="N231" s="28">
        <v>111</v>
      </c>
      <c r="O231" s="28">
        <v>1</v>
      </c>
      <c r="P231" s="28">
        <v>2</v>
      </c>
      <c r="Q231" s="21" t="s">
        <v>992</v>
      </c>
      <c r="R231" s="20" t="s">
        <v>174</v>
      </c>
      <c r="S231" s="20" t="s">
        <v>148</v>
      </c>
      <c r="T231" s="20" t="s">
        <v>347</v>
      </c>
      <c r="U231" s="20"/>
    </row>
    <row r="232" ht="115" customHeight="1" spans="1:21">
      <c r="A232" s="20">
        <f t="shared" si="27"/>
        <v>227</v>
      </c>
      <c r="B232" s="20" t="s">
        <v>64</v>
      </c>
      <c r="C232" s="20" t="s">
        <v>65</v>
      </c>
      <c r="D232" s="20" t="s">
        <v>66</v>
      </c>
      <c r="E232" s="20" t="s">
        <v>993</v>
      </c>
      <c r="F232" s="21" t="s">
        <v>994</v>
      </c>
      <c r="G232" s="20" t="s">
        <v>279</v>
      </c>
      <c r="H232" s="20" t="s">
        <v>845</v>
      </c>
      <c r="I232" s="23">
        <f t="shared" si="24"/>
        <v>38</v>
      </c>
      <c r="J232" s="23">
        <v>38</v>
      </c>
      <c r="K232" s="28"/>
      <c r="L232" s="20" t="s">
        <v>145</v>
      </c>
      <c r="M232" s="20">
        <v>96</v>
      </c>
      <c r="N232" s="28">
        <v>262</v>
      </c>
      <c r="O232" s="20">
        <v>1</v>
      </c>
      <c r="P232" s="28">
        <v>1</v>
      </c>
      <c r="Q232" s="21" t="s">
        <v>995</v>
      </c>
      <c r="R232" s="20" t="s">
        <v>148</v>
      </c>
      <c r="S232" s="20" t="s">
        <v>148</v>
      </c>
      <c r="T232" s="20" t="s">
        <v>168</v>
      </c>
      <c r="U232" s="33"/>
    </row>
    <row r="233" ht="115" customHeight="1" spans="1:21">
      <c r="A233" s="20">
        <f t="shared" si="27"/>
        <v>228</v>
      </c>
      <c r="B233" s="20" t="s">
        <v>64</v>
      </c>
      <c r="C233" s="20" t="s">
        <v>65</v>
      </c>
      <c r="D233" s="20" t="s">
        <v>66</v>
      </c>
      <c r="E233" s="20" t="s">
        <v>996</v>
      </c>
      <c r="F233" s="21" t="s">
        <v>997</v>
      </c>
      <c r="G233" s="20" t="s">
        <v>279</v>
      </c>
      <c r="H233" s="20" t="s">
        <v>845</v>
      </c>
      <c r="I233" s="23">
        <f t="shared" si="24"/>
        <v>40</v>
      </c>
      <c r="J233" s="23">
        <v>40</v>
      </c>
      <c r="K233" s="28"/>
      <c r="L233" s="20" t="s">
        <v>145</v>
      </c>
      <c r="M233" s="20">
        <v>66</v>
      </c>
      <c r="N233" s="28">
        <v>166</v>
      </c>
      <c r="O233" s="20">
        <v>3</v>
      </c>
      <c r="P233" s="28">
        <v>3</v>
      </c>
      <c r="Q233" s="21" t="s">
        <v>998</v>
      </c>
      <c r="R233" s="20" t="s">
        <v>282</v>
      </c>
      <c r="S233" s="20" t="s">
        <v>148</v>
      </c>
      <c r="T233" s="20" t="s">
        <v>168</v>
      </c>
      <c r="U233" s="33"/>
    </row>
    <row r="234" ht="115" customHeight="1" spans="1:21">
      <c r="A234" s="20">
        <f t="shared" si="27"/>
        <v>229</v>
      </c>
      <c r="B234" s="20" t="s">
        <v>64</v>
      </c>
      <c r="C234" s="20" t="s">
        <v>65</v>
      </c>
      <c r="D234" s="20" t="s">
        <v>66</v>
      </c>
      <c r="E234" s="20" t="s">
        <v>999</v>
      </c>
      <c r="F234" s="21" t="s">
        <v>1000</v>
      </c>
      <c r="G234" s="20" t="s">
        <v>279</v>
      </c>
      <c r="H234" s="20" t="s">
        <v>845</v>
      </c>
      <c r="I234" s="23">
        <f t="shared" si="24"/>
        <v>19.2</v>
      </c>
      <c r="J234" s="23">
        <v>19.2</v>
      </c>
      <c r="K234" s="20"/>
      <c r="L234" s="20" t="s">
        <v>145</v>
      </c>
      <c r="M234" s="20">
        <v>52</v>
      </c>
      <c r="N234" s="20">
        <v>128</v>
      </c>
      <c r="O234" s="20">
        <v>3</v>
      </c>
      <c r="P234" s="20">
        <v>8</v>
      </c>
      <c r="Q234" s="21" t="s">
        <v>1001</v>
      </c>
      <c r="R234" s="20" t="s">
        <v>282</v>
      </c>
      <c r="S234" s="20" t="s">
        <v>148</v>
      </c>
      <c r="T234" s="20" t="s">
        <v>168</v>
      </c>
      <c r="U234" s="33"/>
    </row>
    <row r="235" ht="115" customHeight="1" spans="1:21">
      <c r="A235" s="20">
        <f t="shared" si="27"/>
        <v>230</v>
      </c>
      <c r="B235" s="20" t="s">
        <v>64</v>
      </c>
      <c r="C235" s="20" t="s">
        <v>65</v>
      </c>
      <c r="D235" s="20" t="s">
        <v>66</v>
      </c>
      <c r="E235" s="20" t="s">
        <v>1002</v>
      </c>
      <c r="F235" s="21" t="s">
        <v>1003</v>
      </c>
      <c r="G235" s="20" t="s">
        <v>279</v>
      </c>
      <c r="H235" s="20" t="s">
        <v>280</v>
      </c>
      <c r="I235" s="23">
        <f t="shared" si="24"/>
        <v>25.6</v>
      </c>
      <c r="J235" s="23">
        <v>25.6</v>
      </c>
      <c r="K235" s="20"/>
      <c r="L235" s="20" t="s">
        <v>145</v>
      </c>
      <c r="M235" s="20">
        <v>44</v>
      </c>
      <c r="N235" s="20">
        <v>113</v>
      </c>
      <c r="O235" s="20">
        <v>4</v>
      </c>
      <c r="P235" s="20">
        <v>11</v>
      </c>
      <c r="Q235" s="21" t="s">
        <v>1004</v>
      </c>
      <c r="R235" s="20" t="s">
        <v>282</v>
      </c>
      <c r="S235" s="20" t="s">
        <v>148</v>
      </c>
      <c r="T235" s="20" t="s">
        <v>168</v>
      </c>
      <c r="U235" s="33"/>
    </row>
    <row r="236" ht="115" customHeight="1" spans="1:21">
      <c r="A236" s="20">
        <f t="shared" si="27"/>
        <v>231</v>
      </c>
      <c r="B236" s="20" t="s">
        <v>64</v>
      </c>
      <c r="C236" s="20" t="s">
        <v>65</v>
      </c>
      <c r="D236" s="20" t="s">
        <v>66</v>
      </c>
      <c r="E236" s="20" t="s">
        <v>1005</v>
      </c>
      <c r="F236" s="21" t="s">
        <v>1006</v>
      </c>
      <c r="G236" s="20" t="s">
        <v>279</v>
      </c>
      <c r="H236" s="20" t="s">
        <v>280</v>
      </c>
      <c r="I236" s="23">
        <f t="shared" si="24"/>
        <v>60</v>
      </c>
      <c r="J236" s="23">
        <v>60</v>
      </c>
      <c r="K236" s="20"/>
      <c r="L236" s="20" t="s">
        <v>145</v>
      </c>
      <c r="M236" s="20">
        <v>94</v>
      </c>
      <c r="N236" s="20">
        <v>234</v>
      </c>
      <c r="O236" s="20">
        <v>5</v>
      </c>
      <c r="P236" s="20">
        <v>11</v>
      </c>
      <c r="Q236" s="21" t="s">
        <v>1007</v>
      </c>
      <c r="R236" s="20" t="s">
        <v>282</v>
      </c>
      <c r="S236" s="20" t="s">
        <v>148</v>
      </c>
      <c r="T236" s="20" t="s">
        <v>168</v>
      </c>
      <c r="U236" s="33"/>
    </row>
    <row r="237" ht="115" customHeight="1" spans="1:21">
      <c r="A237" s="20">
        <f t="shared" si="27"/>
        <v>232</v>
      </c>
      <c r="B237" s="20" t="s">
        <v>64</v>
      </c>
      <c r="C237" s="20" t="s">
        <v>65</v>
      </c>
      <c r="D237" s="20" t="s">
        <v>66</v>
      </c>
      <c r="E237" s="20" t="s">
        <v>1008</v>
      </c>
      <c r="F237" s="21" t="s">
        <v>1009</v>
      </c>
      <c r="G237" s="20" t="s">
        <v>279</v>
      </c>
      <c r="H237" s="20" t="s">
        <v>280</v>
      </c>
      <c r="I237" s="23">
        <f t="shared" si="24"/>
        <v>34</v>
      </c>
      <c r="J237" s="23">
        <v>34</v>
      </c>
      <c r="K237" s="20"/>
      <c r="L237" s="20" t="s">
        <v>145</v>
      </c>
      <c r="M237" s="20">
        <v>96</v>
      </c>
      <c r="N237" s="20">
        <v>230</v>
      </c>
      <c r="O237" s="20">
        <v>1</v>
      </c>
      <c r="P237" s="20">
        <v>2</v>
      </c>
      <c r="Q237" s="21" t="s">
        <v>1010</v>
      </c>
      <c r="R237" s="20" t="s">
        <v>282</v>
      </c>
      <c r="S237" s="20" t="s">
        <v>148</v>
      </c>
      <c r="T237" s="20" t="s">
        <v>168</v>
      </c>
      <c r="U237" s="33"/>
    </row>
    <row r="238" ht="115" customHeight="1" spans="1:21">
      <c r="A238" s="20">
        <f t="shared" ref="A238:A247" si="28">ROW()-5</f>
        <v>233</v>
      </c>
      <c r="B238" s="20" t="s">
        <v>64</v>
      </c>
      <c r="C238" s="20" t="s">
        <v>65</v>
      </c>
      <c r="D238" s="20" t="s">
        <v>66</v>
      </c>
      <c r="E238" s="20" t="s">
        <v>1011</v>
      </c>
      <c r="F238" s="21" t="s">
        <v>1012</v>
      </c>
      <c r="G238" s="20" t="s">
        <v>279</v>
      </c>
      <c r="H238" s="20" t="s">
        <v>280</v>
      </c>
      <c r="I238" s="23">
        <f t="shared" si="24"/>
        <v>40</v>
      </c>
      <c r="J238" s="23">
        <v>40</v>
      </c>
      <c r="K238" s="20"/>
      <c r="L238" s="20" t="s">
        <v>145</v>
      </c>
      <c r="M238" s="20">
        <v>41</v>
      </c>
      <c r="N238" s="20">
        <v>100</v>
      </c>
      <c r="O238" s="20">
        <v>1</v>
      </c>
      <c r="P238" s="20">
        <v>2</v>
      </c>
      <c r="Q238" s="21" t="s">
        <v>1013</v>
      </c>
      <c r="R238" s="20" t="s">
        <v>282</v>
      </c>
      <c r="S238" s="20" t="s">
        <v>148</v>
      </c>
      <c r="T238" s="20" t="s">
        <v>168</v>
      </c>
      <c r="U238" s="33"/>
    </row>
    <row r="239" ht="115" customHeight="1" spans="1:21">
      <c r="A239" s="20">
        <f t="shared" si="28"/>
        <v>234</v>
      </c>
      <c r="B239" s="20" t="s">
        <v>64</v>
      </c>
      <c r="C239" s="20" t="s">
        <v>65</v>
      </c>
      <c r="D239" s="20" t="s">
        <v>66</v>
      </c>
      <c r="E239" s="20" t="s">
        <v>1014</v>
      </c>
      <c r="F239" s="21" t="s">
        <v>1015</v>
      </c>
      <c r="G239" s="20" t="s">
        <v>279</v>
      </c>
      <c r="H239" s="20" t="s">
        <v>280</v>
      </c>
      <c r="I239" s="23">
        <f t="shared" si="24"/>
        <v>120</v>
      </c>
      <c r="J239" s="23">
        <v>120</v>
      </c>
      <c r="K239" s="20"/>
      <c r="L239" s="20" t="s">
        <v>145</v>
      </c>
      <c r="M239" s="20">
        <v>96</v>
      </c>
      <c r="N239" s="20">
        <v>238</v>
      </c>
      <c r="O239" s="20">
        <v>3</v>
      </c>
      <c r="P239" s="20">
        <v>4</v>
      </c>
      <c r="Q239" s="21" t="s">
        <v>1016</v>
      </c>
      <c r="R239" s="20" t="s">
        <v>282</v>
      </c>
      <c r="S239" s="20" t="s">
        <v>148</v>
      </c>
      <c r="T239" s="20" t="s">
        <v>168</v>
      </c>
      <c r="U239" s="33"/>
    </row>
    <row r="240" ht="115" customHeight="1" spans="1:21">
      <c r="A240" s="20">
        <f t="shared" si="28"/>
        <v>235</v>
      </c>
      <c r="B240" s="20" t="s">
        <v>64</v>
      </c>
      <c r="C240" s="20" t="s">
        <v>65</v>
      </c>
      <c r="D240" s="20" t="s">
        <v>66</v>
      </c>
      <c r="E240" s="20" t="s">
        <v>1017</v>
      </c>
      <c r="F240" s="21" t="s">
        <v>1018</v>
      </c>
      <c r="G240" s="20" t="s">
        <v>279</v>
      </c>
      <c r="H240" s="20" t="s">
        <v>280</v>
      </c>
      <c r="I240" s="23">
        <f t="shared" si="24"/>
        <v>48</v>
      </c>
      <c r="J240" s="23">
        <v>48</v>
      </c>
      <c r="K240" s="20"/>
      <c r="L240" s="20" t="s">
        <v>145</v>
      </c>
      <c r="M240" s="20">
        <v>82</v>
      </c>
      <c r="N240" s="20">
        <v>206</v>
      </c>
      <c r="O240" s="20">
        <v>0</v>
      </c>
      <c r="P240" s="20">
        <v>0</v>
      </c>
      <c r="Q240" s="21" t="s">
        <v>1019</v>
      </c>
      <c r="R240" s="20" t="s">
        <v>282</v>
      </c>
      <c r="S240" s="20" t="s">
        <v>148</v>
      </c>
      <c r="T240" s="20" t="s">
        <v>392</v>
      </c>
      <c r="U240" s="33"/>
    </row>
    <row r="241" ht="115" customHeight="1" spans="1:21">
      <c r="A241" s="20">
        <f t="shared" si="28"/>
        <v>236</v>
      </c>
      <c r="B241" s="20" t="s">
        <v>64</v>
      </c>
      <c r="C241" s="20" t="s">
        <v>65</v>
      </c>
      <c r="D241" s="20" t="s">
        <v>66</v>
      </c>
      <c r="E241" s="20" t="s">
        <v>1020</v>
      </c>
      <c r="F241" s="21" t="s">
        <v>1021</v>
      </c>
      <c r="G241" s="20" t="s">
        <v>279</v>
      </c>
      <c r="H241" s="20" t="s">
        <v>518</v>
      </c>
      <c r="I241" s="23">
        <f t="shared" si="24"/>
        <v>52</v>
      </c>
      <c r="J241" s="23">
        <v>52</v>
      </c>
      <c r="K241" s="20"/>
      <c r="L241" s="20" t="s">
        <v>145</v>
      </c>
      <c r="M241" s="20">
        <v>287</v>
      </c>
      <c r="N241" s="20">
        <v>936</v>
      </c>
      <c r="O241" s="20">
        <v>17</v>
      </c>
      <c r="P241" s="20">
        <v>46</v>
      </c>
      <c r="Q241" s="21" t="s">
        <v>1022</v>
      </c>
      <c r="R241" s="20" t="s">
        <v>282</v>
      </c>
      <c r="S241" s="20" t="s">
        <v>148</v>
      </c>
      <c r="T241" s="20" t="s">
        <v>392</v>
      </c>
      <c r="U241" s="33"/>
    </row>
    <row r="242" ht="115" customHeight="1" spans="1:21">
      <c r="A242" s="20">
        <f t="shared" si="28"/>
        <v>237</v>
      </c>
      <c r="B242" s="20" t="s">
        <v>64</v>
      </c>
      <c r="C242" s="20" t="s">
        <v>65</v>
      </c>
      <c r="D242" s="20" t="s">
        <v>66</v>
      </c>
      <c r="E242" s="20" t="s">
        <v>1023</v>
      </c>
      <c r="F242" s="21" t="s">
        <v>1024</v>
      </c>
      <c r="G242" s="20" t="s">
        <v>279</v>
      </c>
      <c r="H242" s="20" t="s">
        <v>1025</v>
      </c>
      <c r="I242" s="23">
        <f t="shared" si="24"/>
        <v>81</v>
      </c>
      <c r="J242" s="23">
        <v>81</v>
      </c>
      <c r="K242" s="20"/>
      <c r="L242" s="20" t="s">
        <v>145</v>
      </c>
      <c r="M242" s="20">
        <v>45</v>
      </c>
      <c r="N242" s="20">
        <v>95</v>
      </c>
      <c r="O242" s="20">
        <v>0</v>
      </c>
      <c r="P242" s="20">
        <v>0</v>
      </c>
      <c r="Q242" s="21" t="s">
        <v>1026</v>
      </c>
      <c r="R242" s="20" t="s">
        <v>282</v>
      </c>
      <c r="S242" s="20" t="s">
        <v>148</v>
      </c>
      <c r="T242" s="20" t="s">
        <v>168</v>
      </c>
      <c r="U242" s="33"/>
    </row>
    <row r="243" ht="115" customHeight="1" spans="1:21">
      <c r="A243" s="20">
        <f t="shared" si="28"/>
        <v>238</v>
      </c>
      <c r="B243" s="20" t="s">
        <v>64</v>
      </c>
      <c r="C243" s="20" t="s">
        <v>65</v>
      </c>
      <c r="D243" s="20" t="s">
        <v>66</v>
      </c>
      <c r="E243" s="20" t="s">
        <v>1027</v>
      </c>
      <c r="F243" s="21" t="s">
        <v>1028</v>
      </c>
      <c r="G243" s="20" t="s">
        <v>279</v>
      </c>
      <c r="H243" s="20" t="s">
        <v>1029</v>
      </c>
      <c r="I243" s="23">
        <f t="shared" si="24"/>
        <v>60</v>
      </c>
      <c r="J243" s="23">
        <v>60</v>
      </c>
      <c r="K243" s="20"/>
      <c r="L243" s="20" t="s">
        <v>145</v>
      </c>
      <c r="M243" s="20">
        <v>204</v>
      </c>
      <c r="N243" s="20">
        <v>378</v>
      </c>
      <c r="O243" s="20">
        <v>8</v>
      </c>
      <c r="P243" s="20">
        <v>17</v>
      </c>
      <c r="Q243" s="21" t="s">
        <v>1030</v>
      </c>
      <c r="R243" s="20" t="s">
        <v>282</v>
      </c>
      <c r="S243" s="20" t="s">
        <v>148</v>
      </c>
      <c r="T243" s="20" t="s">
        <v>168</v>
      </c>
      <c r="U243" s="33"/>
    </row>
    <row r="244" ht="121.8" spans="1:21">
      <c r="A244" s="20">
        <f t="shared" si="28"/>
        <v>239</v>
      </c>
      <c r="B244" s="20" t="s">
        <v>64</v>
      </c>
      <c r="C244" s="20" t="s">
        <v>65</v>
      </c>
      <c r="D244" s="20" t="s">
        <v>66</v>
      </c>
      <c r="E244" s="20" t="s">
        <v>1031</v>
      </c>
      <c r="F244" s="21" t="s">
        <v>1032</v>
      </c>
      <c r="G244" s="20" t="s">
        <v>171</v>
      </c>
      <c r="H244" s="20" t="s">
        <v>1033</v>
      </c>
      <c r="I244" s="23">
        <f t="shared" si="24"/>
        <v>76.8</v>
      </c>
      <c r="J244" s="29">
        <v>76.8</v>
      </c>
      <c r="K244" s="28"/>
      <c r="L244" s="28" t="s">
        <v>145</v>
      </c>
      <c r="M244" s="28">
        <v>37</v>
      </c>
      <c r="N244" s="28">
        <v>105</v>
      </c>
      <c r="O244" s="28">
        <v>8</v>
      </c>
      <c r="P244" s="28">
        <v>29</v>
      </c>
      <c r="Q244" s="21" t="s">
        <v>1034</v>
      </c>
      <c r="R244" s="20" t="s">
        <v>174</v>
      </c>
      <c r="S244" s="20" t="s">
        <v>148</v>
      </c>
      <c r="T244" s="20" t="s">
        <v>256</v>
      </c>
      <c r="U244" s="20"/>
    </row>
    <row r="245" ht="121.8" spans="1:21">
      <c r="A245" s="20">
        <f t="shared" si="28"/>
        <v>240</v>
      </c>
      <c r="B245" s="20" t="s">
        <v>64</v>
      </c>
      <c r="C245" s="20" t="s">
        <v>65</v>
      </c>
      <c r="D245" s="20" t="s">
        <v>66</v>
      </c>
      <c r="E245" s="20" t="s">
        <v>1035</v>
      </c>
      <c r="F245" s="21" t="s">
        <v>1036</v>
      </c>
      <c r="G245" s="20" t="s">
        <v>171</v>
      </c>
      <c r="H245" s="20" t="s">
        <v>816</v>
      </c>
      <c r="I245" s="23">
        <f t="shared" si="24"/>
        <v>20</v>
      </c>
      <c r="J245" s="23">
        <v>20</v>
      </c>
      <c r="K245" s="20"/>
      <c r="L245" s="20" t="s">
        <v>145</v>
      </c>
      <c r="M245" s="20">
        <v>40</v>
      </c>
      <c r="N245" s="20">
        <v>96</v>
      </c>
      <c r="O245" s="20">
        <v>5</v>
      </c>
      <c r="P245" s="20">
        <v>11</v>
      </c>
      <c r="Q245" s="21" t="s">
        <v>1037</v>
      </c>
      <c r="R245" s="20" t="s">
        <v>174</v>
      </c>
      <c r="S245" s="20" t="s">
        <v>148</v>
      </c>
      <c r="T245" s="20" t="s">
        <v>256</v>
      </c>
      <c r="U245" s="20"/>
    </row>
    <row r="246" ht="121.8" spans="1:21">
      <c r="A246" s="20">
        <f t="shared" si="28"/>
        <v>241</v>
      </c>
      <c r="B246" s="20" t="s">
        <v>64</v>
      </c>
      <c r="C246" s="20" t="s">
        <v>65</v>
      </c>
      <c r="D246" s="20" t="s">
        <v>66</v>
      </c>
      <c r="E246" s="20" t="s">
        <v>1038</v>
      </c>
      <c r="F246" s="21" t="s">
        <v>1039</v>
      </c>
      <c r="G246" s="20" t="s">
        <v>171</v>
      </c>
      <c r="H246" s="20" t="s">
        <v>1040</v>
      </c>
      <c r="I246" s="23">
        <f t="shared" si="24"/>
        <v>50</v>
      </c>
      <c r="J246" s="23">
        <v>50</v>
      </c>
      <c r="K246" s="20"/>
      <c r="L246" s="20" t="s">
        <v>145</v>
      </c>
      <c r="M246" s="20">
        <v>28</v>
      </c>
      <c r="N246" s="20">
        <v>96</v>
      </c>
      <c r="O246" s="20">
        <v>0</v>
      </c>
      <c r="P246" s="20">
        <v>0</v>
      </c>
      <c r="Q246" s="21" t="s">
        <v>1041</v>
      </c>
      <c r="R246" s="20" t="s">
        <v>174</v>
      </c>
      <c r="S246" s="20" t="s">
        <v>148</v>
      </c>
      <c r="T246" s="20" t="s">
        <v>256</v>
      </c>
      <c r="U246" s="20"/>
    </row>
    <row r="247" ht="121.8" spans="1:21">
      <c r="A247" s="20">
        <f t="shared" si="28"/>
        <v>242</v>
      </c>
      <c r="B247" s="20" t="s">
        <v>64</v>
      </c>
      <c r="C247" s="20" t="s">
        <v>65</v>
      </c>
      <c r="D247" s="20" t="s">
        <v>66</v>
      </c>
      <c r="E247" s="20" t="s">
        <v>1042</v>
      </c>
      <c r="F247" s="21" t="s">
        <v>1043</v>
      </c>
      <c r="G247" s="20" t="s">
        <v>171</v>
      </c>
      <c r="H247" s="20" t="s">
        <v>1044</v>
      </c>
      <c r="I247" s="23">
        <f t="shared" si="24"/>
        <v>100</v>
      </c>
      <c r="J247" s="23">
        <v>100</v>
      </c>
      <c r="K247" s="20"/>
      <c r="L247" s="20" t="s">
        <v>145</v>
      </c>
      <c r="M247" s="20">
        <v>18</v>
      </c>
      <c r="N247" s="20">
        <v>70</v>
      </c>
      <c r="O247" s="20">
        <v>2</v>
      </c>
      <c r="P247" s="20">
        <v>4</v>
      </c>
      <c r="Q247" s="21" t="s">
        <v>1045</v>
      </c>
      <c r="R247" s="20" t="s">
        <v>174</v>
      </c>
      <c r="S247" s="20" t="s">
        <v>148</v>
      </c>
      <c r="T247" s="20" t="s">
        <v>256</v>
      </c>
      <c r="U247" s="20"/>
    </row>
    <row r="248" ht="121.8" spans="1:21">
      <c r="A248" s="20">
        <f t="shared" ref="A248:A257" si="29">ROW()-5</f>
        <v>243</v>
      </c>
      <c r="B248" s="20" t="s">
        <v>64</v>
      </c>
      <c r="C248" s="20" t="s">
        <v>65</v>
      </c>
      <c r="D248" s="20" t="s">
        <v>66</v>
      </c>
      <c r="E248" s="20" t="s">
        <v>1046</v>
      </c>
      <c r="F248" s="21" t="s">
        <v>1047</v>
      </c>
      <c r="G248" s="20" t="s">
        <v>171</v>
      </c>
      <c r="H248" s="20" t="s">
        <v>1033</v>
      </c>
      <c r="I248" s="23">
        <f t="shared" si="24"/>
        <v>72.96</v>
      </c>
      <c r="J248" s="29">
        <v>72.96</v>
      </c>
      <c r="K248" s="28"/>
      <c r="L248" s="28" t="s">
        <v>145</v>
      </c>
      <c r="M248" s="28">
        <v>38</v>
      </c>
      <c r="N248" s="28">
        <v>112</v>
      </c>
      <c r="O248" s="28">
        <v>7</v>
      </c>
      <c r="P248" s="28">
        <v>15</v>
      </c>
      <c r="Q248" s="21" t="s">
        <v>1048</v>
      </c>
      <c r="R248" s="20" t="s">
        <v>174</v>
      </c>
      <c r="S248" s="20" t="s">
        <v>148</v>
      </c>
      <c r="T248" s="20" t="s">
        <v>256</v>
      </c>
      <c r="U248" s="20"/>
    </row>
    <row r="249" ht="121.8" spans="1:21">
      <c r="A249" s="20">
        <f t="shared" si="29"/>
        <v>244</v>
      </c>
      <c r="B249" s="20" t="s">
        <v>64</v>
      </c>
      <c r="C249" s="20" t="s">
        <v>65</v>
      </c>
      <c r="D249" s="20" t="s">
        <v>66</v>
      </c>
      <c r="E249" s="20" t="s">
        <v>1049</v>
      </c>
      <c r="F249" s="21" t="s">
        <v>1050</v>
      </c>
      <c r="G249" s="20" t="s">
        <v>171</v>
      </c>
      <c r="H249" s="20" t="s">
        <v>991</v>
      </c>
      <c r="I249" s="23">
        <f t="shared" si="24"/>
        <v>30</v>
      </c>
      <c r="J249" s="29">
        <v>30</v>
      </c>
      <c r="K249" s="28"/>
      <c r="L249" s="20" t="s">
        <v>145</v>
      </c>
      <c r="M249" s="28">
        <v>12</v>
      </c>
      <c r="N249" s="28">
        <v>16</v>
      </c>
      <c r="O249" s="28">
        <v>1</v>
      </c>
      <c r="P249" s="28">
        <v>2</v>
      </c>
      <c r="Q249" s="21" t="s">
        <v>1051</v>
      </c>
      <c r="R249" s="20" t="s">
        <v>174</v>
      </c>
      <c r="S249" s="20" t="s">
        <v>148</v>
      </c>
      <c r="T249" s="20" t="s">
        <v>256</v>
      </c>
      <c r="U249" s="20"/>
    </row>
    <row r="250" ht="121.8" spans="1:21">
      <c r="A250" s="20">
        <f t="shared" si="29"/>
        <v>245</v>
      </c>
      <c r="B250" s="20" t="s">
        <v>64</v>
      </c>
      <c r="C250" s="20" t="s">
        <v>65</v>
      </c>
      <c r="D250" s="20" t="s">
        <v>66</v>
      </c>
      <c r="E250" s="20" t="s">
        <v>1052</v>
      </c>
      <c r="F250" s="21" t="s">
        <v>1053</v>
      </c>
      <c r="G250" s="20" t="s">
        <v>171</v>
      </c>
      <c r="H250" s="20" t="s">
        <v>1054</v>
      </c>
      <c r="I250" s="23">
        <f t="shared" si="24"/>
        <v>90</v>
      </c>
      <c r="J250" s="29">
        <v>90</v>
      </c>
      <c r="K250" s="28"/>
      <c r="L250" s="28" t="s">
        <v>145</v>
      </c>
      <c r="M250" s="28">
        <v>137</v>
      </c>
      <c r="N250" s="28">
        <v>495</v>
      </c>
      <c r="O250" s="28">
        <v>2</v>
      </c>
      <c r="P250" s="28">
        <v>8</v>
      </c>
      <c r="Q250" s="21" t="s">
        <v>1055</v>
      </c>
      <c r="R250" s="20" t="s">
        <v>174</v>
      </c>
      <c r="S250" s="20" t="s">
        <v>148</v>
      </c>
      <c r="T250" s="20" t="s">
        <v>1056</v>
      </c>
      <c r="U250" s="20"/>
    </row>
    <row r="251" s="2" customFormat="1" ht="121.8" spans="1:21">
      <c r="A251" s="20">
        <f t="shared" si="29"/>
        <v>246</v>
      </c>
      <c r="B251" s="20" t="s">
        <v>64</v>
      </c>
      <c r="C251" s="20" t="s">
        <v>65</v>
      </c>
      <c r="D251" s="20" t="s">
        <v>66</v>
      </c>
      <c r="E251" s="20" t="s">
        <v>1057</v>
      </c>
      <c r="F251" s="21" t="s">
        <v>1058</v>
      </c>
      <c r="G251" s="20" t="s">
        <v>171</v>
      </c>
      <c r="H251" s="20" t="s">
        <v>1059</v>
      </c>
      <c r="I251" s="23">
        <f t="shared" si="24"/>
        <v>50</v>
      </c>
      <c r="J251" s="29">
        <v>50</v>
      </c>
      <c r="K251" s="28"/>
      <c r="L251" s="28" t="s">
        <v>145</v>
      </c>
      <c r="M251" s="28">
        <v>31</v>
      </c>
      <c r="N251" s="28">
        <v>92</v>
      </c>
      <c r="O251" s="28">
        <v>0</v>
      </c>
      <c r="P251" s="28">
        <v>0</v>
      </c>
      <c r="Q251" s="21" t="s">
        <v>1060</v>
      </c>
      <c r="R251" s="20" t="s">
        <v>174</v>
      </c>
      <c r="S251" s="20" t="s">
        <v>148</v>
      </c>
      <c r="T251" s="20" t="s">
        <v>1056</v>
      </c>
      <c r="U251" s="20"/>
    </row>
    <row r="252" ht="121.8" spans="1:21">
      <c r="A252" s="20">
        <f t="shared" si="29"/>
        <v>247</v>
      </c>
      <c r="B252" s="20" t="s">
        <v>64</v>
      </c>
      <c r="C252" s="20" t="s">
        <v>65</v>
      </c>
      <c r="D252" s="20" t="s">
        <v>66</v>
      </c>
      <c r="E252" s="20" t="s">
        <v>1061</v>
      </c>
      <c r="F252" s="21" t="s">
        <v>1062</v>
      </c>
      <c r="G252" s="20" t="s">
        <v>171</v>
      </c>
      <c r="H252" s="20" t="s">
        <v>1063</v>
      </c>
      <c r="I252" s="23">
        <f t="shared" si="24"/>
        <v>75</v>
      </c>
      <c r="J252" s="29">
        <v>75</v>
      </c>
      <c r="K252" s="28"/>
      <c r="L252" s="28" t="s">
        <v>145</v>
      </c>
      <c r="M252" s="28">
        <v>28</v>
      </c>
      <c r="N252" s="28">
        <v>81</v>
      </c>
      <c r="O252" s="28">
        <v>0</v>
      </c>
      <c r="P252" s="28">
        <v>0</v>
      </c>
      <c r="Q252" s="21" t="s">
        <v>1064</v>
      </c>
      <c r="R252" s="20" t="s">
        <v>174</v>
      </c>
      <c r="S252" s="20" t="s">
        <v>148</v>
      </c>
      <c r="T252" s="20" t="s">
        <v>1056</v>
      </c>
      <c r="U252" s="20"/>
    </row>
    <row r="253" ht="121.8" spans="1:21">
      <c r="A253" s="20">
        <f t="shared" si="29"/>
        <v>248</v>
      </c>
      <c r="B253" s="20" t="s">
        <v>64</v>
      </c>
      <c r="C253" s="20" t="s">
        <v>65</v>
      </c>
      <c r="D253" s="20" t="s">
        <v>66</v>
      </c>
      <c r="E253" s="20" t="s">
        <v>1065</v>
      </c>
      <c r="F253" s="21" t="s">
        <v>1066</v>
      </c>
      <c r="G253" s="20" t="s">
        <v>220</v>
      </c>
      <c r="H253" s="20" t="s">
        <v>221</v>
      </c>
      <c r="I253" s="23">
        <f t="shared" si="24"/>
        <v>205</v>
      </c>
      <c r="J253" s="23">
        <v>205</v>
      </c>
      <c r="K253" s="20">
        <v>0</v>
      </c>
      <c r="L253" s="20" t="s">
        <v>145</v>
      </c>
      <c r="M253" s="20">
        <v>63</v>
      </c>
      <c r="N253" s="20">
        <v>139</v>
      </c>
      <c r="O253" s="20">
        <v>4</v>
      </c>
      <c r="P253" s="20">
        <v>4</v>
      </c>
      <c r="Q253" s="21" t="s">
        <v>1067</v>
      </c>
      <c r="R253" s="20" t="s">
        <v>223</v>
      </c>
      <c r="S253" s="20" t="s">
        <v>148</v>
      </c>
      <c r="T253" s="20" t="s">
        <v>763</v>
      </c>
      <c r="U253" s="20"/>
    </row>
    <row r="254" ht="121.8" spans="1:21">
      <c r="A254" s="20">
        <f t="shared" si="29"/>
        <v>249</v>
      </c>
      <c r="B254" s="20" t="s">
        <v>64</v>
      </c>
      <c r="C254" s="22" t="s">
        <v>65</v>
      </c>
      <c r="D254" s="20" t="s">
        <v>66</v>
      </c>
      <c r="E254" s="20" t="s">
        <v>1068</v>
      </c>
      <c r="F254" s="21" t="s">
        <v>1069</v>
      </c>
      <c r="G254" s="20" t="s">
        <v>692</v>
      </c>
      <c r="H254" s="20" t="s">
        <v>1070</v>
      </c>
      <c r="I254" s="23">
        <f t="shared" si="24"/>
        <v>50</v>
      </c>
      <c r="J254" s="29">
        <v>50</v>
      </c>
      <c r="K254" s="28"/>
      <c r="L254" s="28" t="s">
        <v>145</v>
      </c>
      <c r="M254" s="28">
        <v>61</v>
      </c>
      <c r="N254" s="28">
        <v>183</v>
      </c>
      <c r="O254" s="28">
        <v>2</v>
      </c>
      <c r="P254" s="28">
        <v>2</v>
      </c>
      <c r="Q254" s="21" t="s">
        <v>1071</v>
      </c>
      <c r="R254" s="20" t="s">
        <v>694</v>
      </c>
      <c r="S254" s="20" t="s">
        <v>148</v>
      </c>
      <c r="T254" s="20" t="s">
        <v>451</v>
      </c>
      <c r="U254" s="20"/>
    </row>
    <row r="255" ht="121.8" spans="1:21">
      <c r="A255" s="20">
        <f t="shared" si="29"/>
        <v>250</v>
      </c>
      <c r="B255" s="20" t="s">
        <v>64</v>
      </c>
      <c r="C255" s="20" t="s">
        <v>65</v>
      </c>
      <c r="D255" s="20" t="s">
        <v>66</v>
      </c>
      <c r="E255" s="20" t="s">
        <v>1072</v>
      </c>
      <c r="F255" s="21" t="s">
        <v>1073</v>
      </c>
      <c r="G255" s="20" t="s">
        <v>272</v>
      </c>
      <c r="H255" s="20" t="s">
        <v>454</v>
      </c>
      <c r="I255" s="23">
        <f t="shared" si="24"/>
        <v>18</v>
      </c>
      <c r="J255" s="23">
        <v>18</v>
      </c>
      <c r="K255" s="20"/>
      <c r="L255" s="20" t="s">
        <v>145</v>
      </c>
      <c r="M255" s="20">
        <v>82</v>
      </c>
      <c r="N255" s="20">
        <v>216</v>
      </c>
      <c r="O255" s="20">
        <v>2</v>
      </c>
      <c r="P255" s="20">
        <v>3</v>
      </c>
      <c r="Q255" s="21" t="s">
        <v>1074</v>
      </c>
      <c r="R255" s="20" t="s">
        <v>275</v>
      </c>
      <c r="S255" s="20" t="s">
        <v>148</v>
      </c>
      <c r="T255" s="20" t="s">
        <v>276</v>
      </c>
      <c r="U255" s="20"/>
    </row>
    <row r="256" ht="121.8" spans="1:21">
      <c r="A256" s="20">
        <f t="shared" si="29"/>
        <v>251</v>
      </c>
      <c r="B256" s="20" t="s">
        <v>64</v>
      </c>
      <c r="C256" s="20" t="s">
        <v>65</v>
      </c>
      <c r="D256" s="20" t="s">
        <v>66</v>
      </c>
      <c r="E256" s="20" t="s">
        <v>1075</v>
      </c>
      <c r="F256" s="21" t="s">
        <v>1076</v>
      </c>
      <c r="G256" s="20" t="s">
        <v>185</v>
      </c>
      <c r="H256" s="20" t="s">
        <v>1077</v>
      </c>
      <c r="I256" s="23">
        <f t="shared" si="24"/>
        <v>60</v>
      </c>
      <c r="J256" s="23">
        <v>60</v>
      </c>
      <c r="K256" s="20"/>
      <c r="L256" s="20" t="s">
        <v>145</v>
      </c>
      <c r="M256" s="20">
        <v>146</v>
      </c>
      <c r="N256" s="20">
        <v>394</v>
      </c>
      <c r="O256" s="20">
        <v>6</v>
      </c>
      <c r="P256" s="20">
        <v>9</v>
      </c>
      <c r="Q256" s="21" t="s">
        <v>1078</v>
      </c>
      <c r="R256" s="20" t="s">
        <v>188</v>
      </c>
      <c r="S256" s="20" t="s">
        <v>148</v>
      </c>
      <c r="T256" s="20" t="s">
        <v>189</v>
      </c>
      <c r="U256" s="20"/>
    </row>
    <row r="257" ht="84" customHeight="1" spans="1:21">
      <c r="A257" s="20">
        <f t="shared" si="29"/>
        <v>252</v>
      </c>
      <c r="B257" s="20" t="s">
        <v>64</v>
      </c>
      <c r="C257" s="20" t="s">
        <v>65</v>
      </c>
      <c r="D257" s="20" t="s">
        <v>66</v>
      </c>
      <c r="E257" s="20" t="s">
        <v>1079</v>
      </c>
      <c r="F257" s="21" t="s">
        <v>1080</v>
      </c>
      <c r="G257" s="20" t="s">
        <v>185</v>
      </c>
      <c r="H257" s="20" t="s">
        <v>501</v>
      </c>
      <c r="I257" s="23">
        <f t="shared" si="24"/>
        <v>170</v>
      </c>
      <c r="J257" s="23">
        <v>170</v>
      </c>
      <c r="K257" s="20"/>
      <c r="L257" s="20" t="s">
        <v>145</v>
      </c>
      <c r="M257" s="20">
        <v>231</v>
      </c>
      <c r="N257" s="20">
        <v>661</v>
      </c>
      <c r="O257" s="20">
        <v>10</v>
      </c>
      <c r="P257" s="20">
        <v>20</v>
      </c>
      <c r="Q257" s="21" t="s">
        <v>1081</v>
      </c>
      <c r="R257" s="20" t="s">
        <v>188</v>
      </c>
      <c r="S257" s="20" t="s">
        <v>148</v>
      </c>
      <c r="T257" s="20" t="s">
        <v>189</v>
      </c>
      <c r="U257" s="20"/>
    </row>
    <row r="258" ht="121.8" spans="1:21">
      <c r="A258" s="20">
        <f t="shared" ref="A258:A267" si="30">ROW()-5</f>
        <v>253</v>
      </c>
      <c r="B258" s="33" t="s">
        <v>64</v>
      </c>
      <c r="C258" s="33" t="s">
        <v>65</v>
      </c>
      <c r="D258" s="33" t="s">
        <v>66</v>
      </c>
      <c r="E258" s="33" t="s">
        <v>1082</v>
      </c>
      <c r="F258" s="34" t="s">
        <v>1083</v>
      </c>
      <c r="G258" s="33" t="s">
        <v>279</v>
      </c>
      <c r="H258" s="33" t="s">
        <v>723</v>
      </c>
      <c r="I258" s="23">
        <f t="shared" si="24"/>
        <v>21.5</v>
      </c>
      <c r="J258" s="36">
        <v>21.5</v>
      </c>
      <c r="K258" s="33"/>
      <c r="L258" s="33" t="s">
        <v>145</v>
      </c>
      <c r="M258" s="33">
        <v>47</v>
      </c>
      <c r="N258" s="33">
        <v>118</v>
      </c>
      <c r="O258" s="33">
        <v>1</v>
      </c>
      <c r="P258" s="33">
        <v>1</v>
      </c>
      <c r="Q258" s="34" t="s">
        <v>1084</v>
      </c>
      <c r="R258" s="33" t="s">
        <v>282</v>
      </c>
      <c r="S258" s="33" t="s">
        <v>148</v>
      </c>
      <c r="T258" s="33" t="s">
        <v>392</v>
      </c>
      <c r="U258" s="20"/>
    </row>
    <row r="259" ht="121.8" spans="1:21">
      <c r="A259" s="20">
        <f t="shared" si="30"/>
        <v>254</v>
      </c>
      <c r="B259" s="20" t="s">
        <v>64</v>
      </c>
      <c r="C259" s="20" t="s">
        <v>65</v>
      </c>
      <c r="D259" s="20" t="s">
        <v>66</v>
      </c>
      <c r="E259" s="20" t="s">
        <v>1085</v>
      </c>
      <c r="F259" s="21" t="s">
        <v>1086</v>
      </c>
      <c r="G259" s="20" t="s">
        <v>279</v>
      </c>
      <c r="H259" s="20" t="s">
        <v>713</v>
      </c>
      <c r="I259" s="23">
        <f t="shared" si="24"/>
        <v>140</v>
      </c>
      <c r="J259" s="23">
        <v>140</v>
      </c>
      <c r="K259" s="20">
        <v>0</v>
      </c>
      <c r="L259" s="20" t="s">
        <v>145</v>
      </c>
      <c r="M259" s="20">
        <v>183</v>
      </c>
      <c r="N259" s="20">
        <v>467</v>
      </c>
      <c r="O259" s="20">
        <v>4</v>
      </c>
      <c r="P259" s="20">
        <v>6</v>
      </c>
      <c r="Q259" s="21" t="s">
        <v>1087</v>
      </c>
      <c r="R259" s="20" t="s">
        <v>282</v>
      </c>
      <c r="S259" s="20" t="s">
        <v>148</v>
      </c>
      <c r="T259" s="20" t="s">
        <v>392</v>
      </c>
      <c r="U259" s="20"/>
    </row>
    <row r="260" ht="121.8" spans="1:21">
      <c r="A260" s="20">
        <f t="shared" si="30"/>
        <v>255</v>
      </c>
      <c r="B260" s="20" t="s">
        <v>64</v>
      </c>
      <c r="C260" s="22" t="s">
        <v>65</v>
      </c>
      <c r="D260" s="20" t="s">
        <v>66</v>
      </c>
      <c r="E260" s="20" t="s">
        <v>1088</v>
      </c>
      <c r="F260" s="21" t="s">
        <v>1089</v>
      </c>
      <c r="G260" s="20" t="s">
        <v>556</v>
      </c>
      <c r="H260" s="20" t="s">
        <v>1090</v>
      </c>
      <c r="I260" s="23">
        <f t="shared" si="24"/>
        <v>65</v>
      </c>
      <c r="J260" s="23">
        <v>65</v>
      </c>
      <c r="K260" s="20"/>
      <c r="L260" s="20" t="s">
        <v>145</v>
      </c>
      <c r="M260" s="20">
        <v>88</v>
      </c>
      <c r="N260" s="20">
        <v>224</v>
      </c>
      <c r="O260" s="20">
        <v>2</v>
      </c>
      <c r="P260" s="20">
        <v>2</v>
      </c>
      <c r="Q260" s="21" t="s">
        <v>1091</v>
      </c>
      <c r="R260" s="20" t="s">
        <v>558</v>
      </c>
      <c r="S260" s="20" t="s">
        <v>148</v>
      </c>
      <c r="T260" s="20" t="s">
        <v>189</v>
      </c>
      <c r="U260" s="20"/>
    </row>
    <row r="261" ht="95" customHeight="1" spans="1:21">
      <c r="A261" s="20">
        <f t="shared" si="30"/>
        <v>256</v>
      </c>
      <c r="B261" s="20" t="s">
        <v>64</v>
      </c>
      <c r="C261" s="20" t="s">
        <v>65</v>
      </c>
      <c r="D261" s="20" t="s">
        <v>66</v>
      </c>
      <c r="E261" s="20" t="s">
        <v>1092</v>
      </c>
      <c r="F261" s="21" t="s">
        <v>1093</v>
      </c>
      <c r="G261" s="20" t="s">
        <v>185</v>
      </c>
      <c r="H261" s="20" t="s">
        <v>977</v>
      </c>
      <c r="I261" s="23">
        <f t="shared" si="24"/>
        <v>31</v>
      </c>
      <c r="J261" s="23">
        <v>31</v>
      </c>
      <c r="K261" s="20"/>
      <c r="L261" s="20" t="s">
        <v>145</v>
      </c>
      <c r="M261" s="20">
        <v>9</v>
      </c>
      <c r="N261" s="20">
        <v>26</v>
      </c>
      <c r="O261" s="20">
        <v>1</v>
      </c>
      <c r="P261" s="20">
        <v>1</v>
      </c>
      <c r="Q261" s="21" t="s">
        <v>1094</v>
      </c>
      <c r="R261" s="20" t="s">
        <v>188</v>
      </c>
      <c r="S261" s="20" t="s">
        <v>148</v>
      </c>
      <c r="T261" s="20" t="s">
        <v>189</v>
      </c>
      <c r="U261" s="20"/>
    </row>
    <row r="262" ht="83" customHeight="1" spans="1:21">
      <c r="A262" s="20">
        <f t="shared" si="30"/>
        <v>257</v>
      </c>
      <c r="B262" s="20" t="s">
        <v>64</v>
      </c>
      <c r="C262" s="20" t="s">
        <v>65</v>
      </c>
      <c r="D262" s="20" t="s">
        <v>67</v>
      </c>
      <c r="E262" s="20" t="s">
        <v>1095</v>
      </c>
      <c r="F262" s="21" t="s">
        <v>1096</v>
      </c>
      <c r="G262" s="20" t="s">
        <v>185</v>
      </c>
      <c r="H262" s="20" t="s">
        <v>290</v>
      </c>
      <c r="I262" s="23">
        <f t="shared" si="24"/>
        <v>75</v>
      </c>
      <c r="J262" s="23">
        <v>75</v>
      </c>
      <c r="K262" s="20"/>
      <c r="L262" s="20" t="s">
        <v>145</v>
      </c>
      <c r="M262" s="20">
        <v>301</v>
      </c>
      <c r="N262" s="28">
        <v>819</v>
      </c>
      <c r="O262" s="28">
        <v>6</v>
      </c>
      <c r="P262" s="28">
        <v>7</v>
      </c>
      <c r="Q262" s="21" t="s">
        <v>1097</v>
      </c>
      <c r="R262" s="20" t="s">
        <v>188</v>
      </c>
      <c r="S262" s="20" t="s">
        <v>148</v>
      </c>
      <c r="T262" s="20" t="s">
        <v>189</v>
      </c>
      <c r="U262" s="28"/>
    </row>
    <row r="263" ht="82" customHeight="1" spans="1:21">
      <c r="A263" s="20">
        <f t="shared" si="30"/>
        <v>258</v>
      </c>
      <c r="B263" s="20" t="s">
        <v>64</v>
      </c>
      <c r="C263" s="22" t="s">
        <v>65</v>
      </c>
      <c r="D263" s="20" t="s">
        <v>67</v>
      </c>
      <c r="E263" s="20" t="s">
        <v>1098</v>
      </c>
      <c r="F263" s="21" t="s">
        <v>1099</v>
      </c>
      <c r="G263" s="20" t="s">
        <v>556</v>
      </c>
      <c r="H263" s="20" t="s">
        <v>891</v>
      </c>
      <c r="I263" s="23">
        <f t="shared" ref="I263:I326" si="31">J263+K263</f>
        <v>10</v>
      </c>
      <c r="J263" s="23">
        <v>10</v>
      </c>
      <c r="K263" s="20"/>
      <c r="L263" s="20" t="s">
        <v>145</v>
      </c>
      <c r="M263" s="20">
        <v>166</v>
      </c>
      <c r="N263" s="20">
        <v>442</v>
      </c>
      <c r="O263" s="20">
        <v>8</v>
      </c>
      <c r="P263" s="20">
        <v>15</v>
      </c>
      <c r="Q263" s="21" t="s">
        <v>1100</v>
      </c>
      <c r="R263" s="20" t="s">
        <v>558</v>
      </c>
      <c r="S263" s="20" t="s">
        <v>148</v>
      </c>
      <c r="T263" s="20" t="s">
        <v>1101</v>
      </c>
      <c r="U263" s="20"/>
    </row>
    <row r="264" ht="82" customHeight="1" spans="1:21">
      <c r="A264" s="20">
        <f t="shared" si="30"/>
        <v>259</v>
      </c>
      <c r="B264" s="20" t="s">
        <v>64</v>
      </c>
      <c r="C264" s="22" t="s">
        <v>65</v>
      </c>
      <c r="D264" s="20" t="s">
        <v>67</v>
      </c>
      <c r="E264" s="20" t="s">
        <v>1102</v>
      </c>
      <c r="F264" s="21" t="s">
        <v>1103</v>
      </c>
      <c r="G264" s="20" t="s">
        <v>556</v>
      </c>
      <c r="H264" s="20" t="s">
        <v>1104</v>
      </c>
      <c r="I264" s="23">
        <f t="shared" si="31"/>
        <v>135</v>
      </c>
      <c r="J264" s="23">
        <v>135</v>
      </c>
      <c r="K264" s="20"/>
      <c r="L264" s="20" t="s">
        <v>145</v>
      </c>
      <c r="M264" s="20">
        <v>400</v>
      </c>
      <c r="N264" s="20">
        <v>1119</v>
      </c>
      <c r="O264" s="20">
        <v>16</v>
      </c>
      <c r="P264" s="20">
        <v>32</v>
      </c>
      <c r="Q264" s="21" t="s">
        <v>1105</v>
      </c>
      <c r="R264" s="20" t="s">
        <v>558</v>
      </c>
      <c r="S264" s="20" t="s">
        <v>148</v>
      </c>
      <c r="T264" s="20" t="s">
        <v>1101</v>
      </c>
      <c r="U264" s="20"/>
    </row>
    <row r="265" ht="100" customHeight="1" spans="1:21">
      <c r="A265" s="20">
        <f t="shared" si="30"/>
        <v>260</v>
      </c>
      <c r="B265" s="20" t="s">
        <v>64</v>
      </c>
      <c r="C265" s="22" t="s">
        <v>65</v>
      </c>
      <c r="D265" s="20" t="s">
        <v>67</v>
      </c>
      <c r="E265" s="20" t="s">
        <v>1106</v>
      </c>
      <c r="F265" s="21" t="s">
        <v>1107</v>
      </c>
      <c r="G265" s="20" t="s">
        <v>152</v>
      </c>
      <c r="H265" s="20" t="s">
        <v>307</v>
      </c>
      <c r="I265" s="23">
        <f t="shared" si="31"/>
        <v>54</v>
      </c>
      <c r="J265" s="23">
        <v>54</v>
      </c>
      <c r="K265" s="20"/>
      <c r="L265" s="20" t="s">
        <v>145</v>
      </c>
      <c r="M265" s="20">
        <v>133</v>
      </c>
      <c r="N265" s="20">
        <v>410</v>
      </c>
      <c r="O265" s="20">
        <v>6</v>
      </c>
      <c r="P265" s="20">
        <v>19</v>
      </c>
      <c r="Q265" s="21" t="s">
        <v>1108</v>
      </c>
      <c r="R265" s="20" t="s">
        <v>155</v>
      </c>
      <c r="S265" s="20" t="s">
        <v>148</v>
      </c>
      <c r="T265" s="20" t="s">
        <v>149</v>
      </c>
      <c r="U265" s="20"/>
    </row>
    <row r="266" ht="98" customHeight="1" spans="1:21">
      <c r="A266" s="20">
        <f t="shared" si="30"/>
        <v>261</v>
      </c>
      <c r="B266" s="20" t="s">
        <v>64</v>
      </c>
      <c r="C266" s="22" t="s">
        <v>65</v>
      </c>
      <c r="D266" s="20" t="s">
        <v>67</v>
      </c>
      <c r="E266" s="20" t="s">
        <v>1109</v>
      </c>
      <c r="F266" s="21" t="s">
        <v>1110</v>
      </c>
      <c r="G266" s="20" t="s">
        <v>152</v>
      </c>
      <c r="H266" s="20" t="s">
        <v>314</v>
      </c>
      <c r="I266" s="23">
        <f t="shared" si="31"/>
        <v>45</v>
      </c>
      <c r="J266" s="23">
        <v>45</v>
      </c>
      <c r="K266" s="20"/>
      <c r="L266" s="20" t="s">
        <v>145</v>
      </c>
      <c r="M266" s="20">
        <v>381</v>
      </c>
      <c r="N266" s="20">
        <v>1030</v>
      </c>
      <c r="O266" s="20">
        <v>15</v>
      </c>
      <c r="P266" s="20">
        <v>30</v>
      </c>
      <c r="Q266" s="21" t="s">
        <v>1111</v>
      </c>
      <c r="R266" s="20" t="s">
        <v>155</v>
      </c>
      <c r="S266" s="20" t="s">
        <v>148</v>
      </c>
      <c r="T266" s="20" t="s">
        <v>156</v>
      </c>
      <c r="U266" s="20"/>
    </row>
    <row r="267" ht="89" customHeight="1" spans="1:21">
      <c r="A267" s="20">
        <f t="shared" si="30"/>
        <v>262</v>
      </c>
      <c r="B267" s="20" t="s">
        <v>64</v>
      </c>
      <c r="C267" s="22" t="s">
        <v>65</v>
      </c>
      <c r="D267" s="20" t="s">
        <v>67</v>
      </c>
      <c r="E267" s="20" t="s">
        <v>1112</v>
      </c>
      <c r="F267" s="21" t="s">
        <v>1113</v>
      </c>
      <c r="G267" s="20" t="s">
        <v>152</v>
      </c>
      <c r="H267" s="20" t="s">
        <v>743</v>
      </c>
      <c r="I267" s="23">
        <f t="shared" si="31"/>
        <v>30</v>
      </c>
      <c r="J267" s="23">
        <v>30</v>
      </c>
      <c r="K267" s="20"/>
      <c r="L267" s="20" t="s">
        <v>145</v>
      </c>
      <c r="M267" s="20">
        <v>429</v>
      </c>
      <c r="N267" s="20">
        <v>1366</v>
      </c>
      <c r="O267" s="20">
        <v>28</v>
      </c>
      <c r="P267" s="20">
        <v>63</v>
      </c>
      <c r="Q267" s="21" t="s">
        <v>1114</v>
      </c>
      <c r="R267" s="20" t="s">
        <v>155</v>
      </c>
      <c r="S267" s="20" t="s">
        <v>148</v>
      </c>
      <c r="T267" s="20" t="s">
        <v>156</v>
      </c>
      <c r="U267" s="20"/>
    </row>
    <row r="268" ht="122" customHeight="1" spans="1:21">
      <c r="A268" s="20">
        <f t="shared" ref="A268:A277" si="32">ROW()-5</f>
        <v>263</v>
      </c>
      <c r="B268" s="20" t="s">
        <v>64</v>
      </c>
      <c r="C268" s="22" t="s">
        <v>65</v>
      </c>
      <c r="D268" s="20" t="s">
        <v>67</v>
      </c>
      <c r="E268" s="20" t="s">
        <v>1115</v>
      </c>
      <c r="F268" s="21" t="s">
        <v>1116</v>
      </c>
      <c r="G268" s="20" t="s">
        <v>152</v>
      </c>
      <c r="H268" s="20" t="s">
        <v>743</v>
      </c>
      <c r="I268" s="23">
        <f t="shared" si="31"/>
        <v>40</v>
      </c>
      <c r="J268" s="23">
        <v>40</v>
      </c>
      <c r="K268" s="20"/>
      <c r="L268" s="20" t="s">
        <v>145</v>
      </c>
      <c r="M268" s="20">
        <v>178</v>
      </c>
      <c r="N268" s="20">
        <v>478</v>
      </c>
      <c r="O268" s="20">
        <v>6</v>
      </c>
      <c r="P268" s="20">
        <v>9</v>
      </c>
      <c r="Q268" s="21" t="s">
        <v>1117</v>
      </c>
      <c r="R268" s="20" t="s">
        <v>155</v>
      </c>
      <c r="S268" s="20" t="s">
        <v>148</v>
      </c>
      <c r="T268" s="20" t="s">
        <v>156</v>
      </c>
      <c r="U268" s="20"/>
    </row>
    <row r="269" ht="120" customHeight="1" spans="1:21">
      <c r="A269" s="20">
        <f t="shared" si="32"/>
        <v>264</v>
      </c>
      <c r="B269" s="20" t="s">
        <v>64</v>
      </c>
      <c r="C269" s="22" t="s">
        <v>65</v>
      </c>
      <c r="D269" s="20" t="s">
        <v>67</v>
      </c>
      <c r="E269" s="20" t="s">
        <v>1118</v>
      </c>
      <c r="F269" s="21" t="s">
        <v>1119</v>
      </c>
      <c r="G269" s="20" t="s">
        <v>152</v>
      </c>
      <c r="H269" s="20" t="s">
        <v>743</v>
      </c>
      <c r="I269" s="23">
        <f t="shared" si="31"/>
        <v>75</v>
      </c>
      <c r="J269" s="23">
        <v>75</v>
      </c>
      <c r="K269" s="20"/>
      <c r="L269" s="20" t="s">
        <v>145</v>
      </c>
      <c r="M269" s="20">
        <v>28</v>
      </c>
      <c r="N269" s="20">
        <v>74</v>
      </c>
      <c r="O269" s="20">
        <v>2</v>
      </c>
      <c r="P269" s="20">
        <v>5</v>
      </c>
      <c r="Q269" s="21" t="s">
        <v>1120</v>
      </c>
      <c r="R269" s="20" t="s">
        <v>155</v>
      </c>
      <c r="S269" s="20" t="s">
        <v>148</v>
      </c>
      <c r="T269" s="20" t="s">
        <v>156</v>
      </c>
      <c r="U269" s="20"/>
    </row>
    <row r="270" ht="106" customHeight="1" spans="1:21">
      <c r="A270" s="20">
        <f t="shared" si="32"/>
        <v>265</v>
      </c>
      <c r="B270" s="20" t="s">
        <v>64</v>
      </c>
      <c r="C270" s="22" t="s">
        <v>65</v>
      </c>
      <c r="D270" s="20" t="s">
        <v>67</v>
      </c>
      <c r="E270" s="20" t="s">
        <v>1121</v>
      </c>
      <c r="F270" s="21" t="s">
        <v>1122</v>
      </c>
      <c r="G270" s="20" t="s">
        <v>152</v>
      </c>
      <c r="H270" s="20" t="s">
        <v>318</v>
      </c>
      <c r="I270" s="23">
        <f t="shared" si="31"/>
        <v>30</v>
      </c>
      <c r="J270" s="23">
        <v>30</v>
      </c>
      <c r="K270" s="20"/>
      <c r="L270" s="20" t="s">
        <v>145</v>
      </c>
      <c r="M270" s="20">
        <v>572</v>
      </c>
      <c r="N270" s="20">
        <v>1689</v>
      </c>
      <c r="O270" s="20">
        <v>36</v>
      </c>
      <c r="P270" s="20">
        <v>74</v>
      </c>
      <c r="Q270" s="21" t="s">
        <v>1123</v>
      </c>
      <c r="R270" s="20" t="s">
        <v>155</v>
      </c>
      <c r="S270" s="20" t="s">
        <v>148</v>
      </c>
      <c r="T270" s="20" t="s">
        <v>320</v>
      </c>
      <c r="U270" s="20"/>
    </row>
    <row r="271" ht="106" customHeight="1" spans="1:21">
      <c r="A271" s="20">
        <f t="shared" si="32"/>
        <v>266</v>
      </c>
      <c r="B271" s="20" t="s">
        <v>64</v>
      </c>
      <c r="C271" s="22" t="s">
        <v>65</v>
      </c>
      <c r="D271" s="20" t="s">
        <v>67</v>
      </c>
      <c r="E271" s="20" t="s">
        <v>1124</v>
      </c>
      <c r="F271" s="21" t="s">
        <v>1125</v>
      </c>
      <c r="G271" s="20" t="s">
        <v>152</v>
      </c>
      <c r="H271" s="20" t="s">
        <v>159</v>
      </c>
      <c r="I271" s="23">
        <f t="shared" si="31"/>
        <v>54</v>
      </c>
      <c r="J271" s="23">
        <v>54</v>
      </c>
      <c r="K271" s="20"/>
      <c r="L271" s="20" t="s">
        <v>145</v>
      </c>
      <c r="M271" s="20">
        <v>90</v>
      </c>
      <c r="N271" s="20">
        <v>273</v>
      </c>
      <c r="O271" s="20">
        <v>6</v>
      </c>
      <c r="P271" s="20">
        <v>12</v>
      </c>
      <c r="Q271" s="21" t="s">
        <v>1126</v>
      </c>
      <c r="R271" s="20" t="s">
        <v>155</v>
      </c>
      <c r="S271" s="20" t="s">
        <v>148</v>
      </c>
      <c r="T271" s="20" t="s">
        <v>156</v>
      </c>
      <c r="U271" s="20"/>
    </row>
    <row r="272" ht="106" customHeight="1" spans="1:21">
      <c r="A272" s="20">
        <f t="shared" si="32"/>
        <v>267</v>
      </c>
      <c r="B272" s="20" t="s">
        <v>64</v>
      </c>
      <c r="C272" s="22" t="s">
        <v>65</v>
      </c>
      <c r="D272" s="20" t="s">
        <v>67</v>
      </c>
      <c r="E272" s="20" t="s">
        <v>1127</v>
      </c>
      <c r="F272" s="21" t="s">
        <v>1128</v>
      </c>
      <c r="G272" s="20" t="s">
        <v>152</v>
      </c>
      <c r="H272" s="20" t="s">
        <v>159</v>
      </c>
      <c r="I272" s="23">
        <f t="shared" si="31"/>
        <v>15</v>
      </c>
      <c r="J272" s="23">
        <v>15</v>
      </c>
      <c r="K272" s="20"/>
      <c r="L272" s="20" t="s">
        <v>145</v>
      </c>
      <c r="M272" s="20">
        <v>57</v>
      </c>
      <c r="N272" s="20">
        <v>172</v>
      </c>
      <c r="O272" s="20">
        <v>1</v>
      </c>
      <c r="P272" s="20">
        <v>2</v>
      </c>
      <c r="Q272" s="21" t="s">
        <v>1129</v>
      </c>
      <c r="R272" s="20" t="s">
        <v>155</v>
      </c>
      <c r="S272" s="20" t="s">
        <v>148</v>
      </c>
      <c r="T272" s="20" t="s">
        <v>156</v>
      </c>
      <c r="U272" s="20"/>
    </row>
    <row r="273" ht="120" customHeight="1" spans="1:21">
      <c r="A273" s="20">
        <f t="shared" si="32"/>
        <v>268</v>
      </c>
      <c r="B273" s="20" t="s">
        <v>64</v>
      </c>
      <c r="C273" s="22" t="s">
        <v>65</v>
      </c>
      <c r="D273" s="20" t="s">
        <v>67</v>
      </c>
      <c r="E273" s="20" t="s">
        <v>1130</v>
      </c>
      <c r="F273" s="21" t="s">
        <v>1131</v>
      </c>
      <c r="G273" s="20" t="s">
        <v>152</v>
      </c>
      <c r="H273" s="20" t="s">
        <v>307</v>
      </c>
      <c r="I273" s="23">
        <f t="shared" si="31"/>
        <v>66</v>
      </c>
      <c r="J273" s="23">
        <v>66</v>
      </c>
      <c r="K273" s="20"/>
      <c r="L273" s="20" t="s">
        <v>145</v>
      </c>
      <c r="M273" s="20">
        <v>91</v>
      </c>
      <c r="N273" s="20">
        <v>264</v>
      </c>
      <c r="O273" s="20">
        <v>4</v>
      </c>
      <c r="P273" s="20">
        <v>14</v>
      </c>
      <c r="Q273" s="21" t="s">
        <v>1132</v>
      </c>
      <c r="R273" s="20" t="s">
        <v>155</v>
      </c>
      <c r="S273" s="20" t="s">
        <v>148</v>
      </c>
      <c r="T273" s="20" t="s">
        <v>156</v>
      </c>
      <c r="U273" s="20"/>
    </row>
    <row r="274" ht="120" customHeight="1" spans="1:21">
      <c r="A274" s="20">
        <f t="shared" si="32"/>
        <v>269</v>
      </c>
      <c r="B274" s="20" t="s">
        <v>64</v>
      </c>
      <c r="C274" s="22" t="s">
        <v>65</v>
      </c>
      <c r="D274" s="20" t="s">
        <v>67</v>
      </c>
      <c r="E274" s="20" t="s">
        <v>1133</v>
      </c>
      <c r="F274" s="21" t="s">
        <v>1134</v>
      </c>
      <c r="G274" s="20" t="s">
        <v>152</v>
      </c>
      <c r="H274" s="20" t="s">
        <v>323</v>
      </c>
      <c r="I274" s="23">
        <f t="shared" si="31"/>
        <v>45</v>
      </c>
      <c r="J274" s="23">
        <v>45</v>
      </c>
      <c r="K274" s="20"/>
      <c r="L274" s="20" t="s">
        <v>145</v>
      </c>
      <c r="M274" s="20">
        <v>89</v>
      </c>
      <c r="N274" s="20">
        <v>196</v>
      </c>
      <c r="O274" s="20">
        <v>4</v>
      </c>
      <c r="P274" s="20">
        <v>10</v>
      </c>
      <c r="Q274" s="21" t="s">
        <v>1135</v>
      </c>
      <c r="R274" s="20" t="s">
        <v>155</v>
      </c>
      <c r="S274" s="20" t="s">
        <v>148</v>
      </c>
      <c r="T274" s="20" t="s">
        <v>325</v>
      </c>
      <c r="U274" s="20"/>
    </row>
    <row r="275" ht="100" customHeight="1" spans="1:21">
      <c r="A275" s="20">
        <f t="shared" si="32"/>
        <v>270</v>
      </c>
      <c r="B275" s="20" t="s">
        <v>64</v>
      </c>
      <c r="C275" s="22" t="s">
        <v>65</v>
      </c>
      <c r="D275" s="20" t="s">
        <v>67</v>
      </c>
      <c r="E275" s="20" t="s">
        <v>1136</v>
      </c>
      <c r="F275" s="21" t="s">
        <v>1137</v>
      </c>
      <c r="G275" s="20" t="s">
        <v>152</v>
      </c>
      <c r="H275" s="20" t="s">
        <v>159</v>
      </c>
      <c r="I275" s="23">
        <f t="shared" si="31"/>
        <v>11</v>
      </c>
      <c r="J275" s="23">
        <v>11</v>
      </c>
      <c r="K275" s="20"/>
      <c r="L275" s="20" t="s">
        <v>145</v>
      </c>
      <c r="M275" s="20">
        <v>429</v>
      </c>
      <c r="N275" s="20">
        <v>1366</v>
      </c>
      <c r="O275" s="20">
        <v>28</v>
      </c>
      <c r="P275" s="20">
        <v>63</v>
      </c>
      <c r="Q275" s="21" t="s">
        <v>1114</v>
      </c>
      <c r="R275" s="20" t="s">
        <v>155</v>
      </c>
      <c r="S275" s="20" t="s">
        <v>148</v>
      </c>
      <c r="T275" s="20" t="s">
        <v>156</v>
      </c>
      <c r="U275" s="20"/>
    </row>
    <row r="276" ht="94" customHeight="1" spans="1:21">
      <c r="A276" s="20">
        <f t="shared" si="32"/>
        <v>271</v>
      </c>
      <c r="B276" s="20" t="s">
        <v>64</v>
      </c>
      <c r="C276" s="22" t="s">
        <v>65</v>
      </c>
      <c r="D276" s="20" t="s">
        <v>67</v>
      </c>
      <c r="E276" s="20" t="s">
        <v>1138</v>
      </c>
      <c r="F276" s="21" t="s">
        <v>1139</v>
      </c>
      <c r="G276" s="20" t="s">
        <v>152</v>
      </c>
      <c r="H276" s="20" t="s">
        <v>159</v>
      </c>
      <c r="I276" s="23">
        <f t="shared" si="31"/>
        <v>8</v>
      </c>
      <c r="J276" s="23">
        <v>8</v>
      </c>
      <c r="K276" s="20"/>
      <c r="L276" s="20" t="s">
        <v>145</v>
      </c>
      <c r="M276" s="20">
        <v>429</v>
      </c>
      <c r="N276" s="20">
        <v>1366</v>
      </c>
      <c r="O276" s="20">
        <v>28</v>
      </c>
      <c r="P276" s="20">
        <v>63</v>
      </c>
      <c r="Q276" s="21" t="s">
        <v>1114</v>
      </c>
      <c r="R276" s="20" t="s">
        <v>155</v>
      </c>
      <c r="S276" s="20" t="s">
        <v>148</v>
      </c>
      <c r="T276" s="20" t="s">
        <v>156</v>
      </c>
      <c r="U276" s="20"/>
    </row>
    <row r="277" ht="106" customHeight="1" spans="1:21">
      <c r="A277" s="20">
        <f t="shared" si="32"/>
        <v>272</v>
      </c>
      <c r="B277" s="20" t="s">
        <v>64</v>
      </c>
      <c r="C277" s="22" t="s">
        <v>65</v>
      </c>
      <c r="D277" s="20" t="s">
        <v>67</v>
      </c>
      <c r="E277" s="20" t="s">
        <v>1140</v>
      </c>
      <c r="F277" s="21" t="s">
        <v>1141</v>
      </c>
      <c r="G277" s="20" t="s">
        <v>152</v>
      </c>
      <c r="H277" s="20" t="s">
        <v>895</v>
      </c>
      <c r="I277" s="23">
        <f t="shared" si="31"/>
        <v>54</v>
      </c>
      <c r="J277" s="23">
        <v>54</v>
      </c>
      <c r="K277" s="20"/>
      <c r="L277" s="20" t="s">
        <v>145</v>
      </c>
      <c r="M277" s="20">
        <v>51</v>
      </c>
      <c r="N277" s="20">
        <v>146</v>
      </c>
      <c r="O277" s="20">
        <v>2</v>
      </c>
      <c r="P277" s="20">
        <v>7</v>
      </c>
      <c r="Q277" s="21" t="s">
        <v>1142</v>
      </c>
      <c r="R277" s="20" t="s">
        <v>155</v>
      </c>
      <c r="S277" s="20" t="s">
        <v>148</v>
      </c>
      <c r="T277" s="20" t="s">
        <v>156</v>
      </c>
      <c r="U277" s="20"/>
    </row>
    <row r="278" ht="111" customHeight="1" spans="1:21">
      <c r="A278" s="20">
        <f t="shared" ref="A278:A287" si="33">ROW()-5</f>
        <v>273</v>
      </c>
      <c r="B278" s="20" t="s">
        <v>64</v>
      </c>
      <c r="C278" s="22" t="s">
        <v>65</v>
      </c>
      <c r="D278" s="20" t="s">
        <v>67</v>
      </c>
      <c r="E278" s="20" t="s">
        <v>1143</v>
      </c>
      <c r="F278" s="21" t="s">
        <v>1144</v>
      </c>
      <c r="G278" s="20" t="s">
        <v>152</v>
      </c>
      <c r="H278" s="20" t="s">
        <v>895</v>
      </c>
      <c r="I278" s="23">
        <f t="shared" si="31"/>
        <v>24</v>
      </c>
      <c r="J278" s="23">
        <v>24</v>
      </c>
      <c r="K278" s="20"/>
      <c r="L278" s="20" t="s">
        <v>145</v>
      </c>
      <c r="M278" s="20">
        <v>37</v>
      </c>
      <c r="N278" s="20">
        <v>89</v>
      </c>
      <c r="O278" s="20">
        <v>0</v>
      </c>
      <c r="P278" s="20">
        <v>0</v>
      </c>
      <c r="Q278" s="21" t="s">
        <v>1145</v>
      </c>
      <c r="R278" s="20" t="s">
        <v>155</v>
      </c>
      <c r="S278" s="20" t="s">
        <v>148</v>
      </c>
      <c r="T278" s="20" t="s">
        <v>156</v>
      </c>
      <c r="U278" s="20"/>
    </row>
    <row r="279" ht="115" customHeight="1" spans="1:21">
      <c r="A279" s="20">
        <f t="shared" si="33"/>
        <v>274</v>
      </c>
      <c r="B279" s="20" t="s">
        <v>64</v>
      </c>
      <c r="C279" s="22" t="s">
        <v>65</v>
      </c>
      <c r="D279" s="20" t="s">
        <v>67</v>
      </c>
      <c r="E279" s="20" t="s">
        <v>1146</v>
      </c>
      <c r="F279" s="21" t="s">
        <v>1147</v>
      </c>
      <c r="G279" s="20" t="s">
        <v>152</v>
      </c>
      <c r="H279" s="20" t="s">
        <v>743</v>
      </c>
      <c r="I279" s="23">
        <f t="shared" si="31"/>
        <v>66</v>
      </c>
      <c r="J279" s="23">
        <v>66</v>
      </c>
      <c r="K279" s="20"/>
      <c r="L279" s="20" t="s">
        <v>145</v>
      </c>
      <c r="M279" s="20">
        <v>58</v>
      </c>
      <c r="N279" s="20">
        <v>152</v>
      </c>
      <c r="O279" s="20">
        <v>0</v>
      </c>
      <c r="P279" s="20">
        <v>0</v>
      </c>
      <c r="Q279" s="21" t="s">
        <v>1148</v>
      </c>
      <c r="R279" s="20" t="s">
        <v>155</v>
      </c>
      <c r="S279" s="20" t="s">
        <v>148</v>
      </c>
      <c r="T279" s="20" t="s">
        <v>156</v>
      </c>
      <c r="U279" s="20"/>
    </row>
    <row r="280" ht="108" customHeight="1" spans="1:21">
      <c r="A280" s="20">
        <f t="shared" si="33"/>
        <v>275</v>
      </c>
      <c r="B280" s="20" t="s">
        <v>64</v>
      </c>
      <c r="C280" s="22" t="s">
        <v>65</v>
      </c>
      <c r="D280" s="20" t="s">
        <v>67</v>
      </c>
      <c r="E280" s="20" t="s">
        <v>1149</v>
      </c>
      <c r="F280" s="21" t="s">
        <v>1150</v>
      </c>
      <c r="G280" s="20" t="s">
        <v>220</v>
      </c>
      <c r="H280" s="20" t="s">
        <v>227</v>
      </c>
      <c r="I280" s="23">
        <f t="shared" si="31"/>
        <v>67.5</v>
      </c>
      <c r="J280" s="23">
        <v>67.5</v>
      </c>
      <c r="K280" s="20">
        <v>0</v>
      </c>
      <c r="L280" s="20" t="s">
        <v>145</v>
      </c>
      <c r="M280" s="20">
        <v>166</v>
      </c>
      <c r="N280" s="20">
        <v>367</v>
      </c>
      <c r="O280" s="20">
        <v>6</v>
      </c>
      <c r="P280" s="20">
        <v>7</v>
      </c>
      <c r="Q280" s="21" t="s">
        <v>1151</v>
      </c>
      <c r="R280" s="20" t="s">
        <v>223</v>
      </c>
      <c r="S280" s="20" t="s">
        <v>148</v>
      </c>
      <c r="T280" s="20" t="s">
        <v>585</v>
      </c>
      <c r="U280" s="20"/>
    </row>
    <row r="281" ht="153" customHeight="1" spans="1:21">
      <c r="A281" s="20">
        <f t="shared" si="33"/>
        <v>276</v>
      </c>
      <c r="B281" s="20" t="s">
        <v>64</v>
      </c>
      <c r="C281" s="22" t="s">
        <v>65</v>
      </c>
      <c r="D281" s="20" t="s">
        <v>67</v>
      </c>
      <c r="E281" s="20" t="s">
        <v>1152</v>
      </c>
      <c r="F281" s="21" t="s">
        <v>1153</v>
      </c>
      <c r="G281" s="20" t="s">
        <v>178</v>
      </c>
      <c r="H281" s="20" t="s">
        <v>294</v>
      </c>
      <c r="I281" s="23">
        <f t="shared" si="31"/>
        <v>186</v>
      </c>
      <c r="J281" s="23">
        <v>186</v>
      </c>
      <c r="K281" s="20"/>
      <c r="L281" s="20" t="s">
        <v>145</v>
      </c>
      <c r="M281" s="20">
        <v>370</v>
      </c>
      <c r="N281" s="20">
        <v>1041</v>
      </c>
      <c r="O281" s="20">
        <v>16</v>
      </c>
      <c r="P281" s="20">
        <v>35</v>
      </c>
      <c r="Q281" s="21" t="s">
        <v>1154</v>
      </c>
      <c r="R281" s="20" t="s">
        <v>181</v>
      </c>
      <c r="S281" s="20" t="s">
        <v>148</v>
      </c>
      <c r="T281" s="20" t="s">
        <v>1155</v>
      </c>
      <c r="U281" s="28"/>
    </row>
    <row r="282" ht="132" customHeight="1" spans="1:21">
      <c r="A282" s="20">
        <f t="shared" si="33"/>
        <v>277</v>
      </c>
      <c r="B282" s="20" t="s">
        <v>64</v>
      </c>
      <c r="C282" s="22" t="s">
        <v>65</v>
      </c>
      <c r="D282" s="20" t="s">
        <v>67</v>
      </c>
      <c r="E282" s="20" t="s">
        <v>1156</v>
      </c>
      <c r="F282" s="21" t="s">
        <v>1157</v>
      </c>
      <c r="G282" s="20" t="s">
        <v>178</v>
      </c>
      <c r="H282" s="20" t="s">
        <v>259</v>
      </c>
      <c r="I282" s="23">
        <f t="shared" si="31"/>
        <v>100</v>
      </c>
      <c r="J282" s="23">
        <v>100</v>
      </c>
      <c r="K282" s="20"/>
      <c r="L282" s="20" t="s">
        <v>145</v>
      </c>
      <c r="M282" s="20">
        <v>42</v>
      </c>
      <c r="N282" s="20">
        <v>114</v>
      </c>
      <c r="O282" s="20">
        <v>2</v>
      </c>
      <c r="P282" s="20">
        <v>8</v>
      </c>
      <c r="Q282" s="21" t="s">
        <v>1158</v>
      </c>
      <c r="R282" s="20" t="s">
        <v>181</v>
      </c>
      <c r="S282" s="20" t="s">
        <v>148</v>
      </c>
      <c r="T282" s="20" t="s">
        <v>1159</v>
      </c>
      <c r="U282" s="28"/>
    </row>
    <row r="283" ht="144" customHeight="1" spans="1:21">
      <c r="A283" s="20">
        <f t="shared" si="33"/>
        <v>278</v>
      </c>
      <c r="B283" s="20" t="s">
        <v>64</v>
      </c>
      <c r="C283" s="22" t="s">
        <v>65</v>
      </c>
      <c r="D283" s="20" t="s">
        <v>67</v>
      </c>
      <c r="E283" s="20" t="s">
        <v>1160</v>
      </c>
      <c r="F283" s="21" t="s">
        <v>1161</v>
      </c>
      <c r="G283" s="20" t="s">
        <v>178</v>
      </c>
      <c r="H283" s="20" t="s">
        <v>928</v>
      </c>
      <c r="I283" s="23">
        <f t="shared" si="31"/>
        <v>285</v>
      </c>
      <c r="J283" s="23">
        <v>285</v>
      </c>
      <c r="K283" s="20"/>
      <c r="L283" s="20" t="s">
        <v>145</v>
      </c>
      <c r="M283" s="20">
        <v>408</v>
      </c>
      <c r="N283" s="20">
        <v>1066</v>
      </c>
      <c r="O283" s="20">
        <v>14</v>
      </c>
      <c r="P283" s="20">
        <v>25</v>
      </c>
      <c r="Q283" s="21" t="s">
        <v>1162</v>
      </c>
      <c r="R283" s="20" t="s">
        <v>181</v>
      </c>
      <c r="S283" s="20" t="s">
        <v>148</v>
      </c>
      <c r="T283" s="20" t="s">
        <v>917</v>
      </c>
      <c r="U283" s="28"/>
    </row>
    <row r="284" ht="137" customHeight="1" spans="1:21">
      <c r="A284" s="20">
        <f t="shared" si="33"/>
        <v>279</v>
      </c>
      <c r="B284" s="20" t="s">
        <v>64</v>
      </c>
      <c r="C284" s="22" t="s">
        <v>65</v>
      </c>
      <c r="D284" s="20" t="s">
        <v>67</v>
      </c>
      <c r="E284" s="20" t="s">
        <v>1163</v>
      </c>
      <c r="F284" s="21" t="s">
        <v>1164</v>
      </c>
      <c r="G284" s="20" t="s">
        <v>178</v>
      </c>
      <c r="H284" s="20" t="s">
        <v>1165</v>
      </c>
      <c r="I284" s="23">
        <f t="shared" si="31"/>
        <v>195</v>
      </c>
      <c r="J284" s="23">
        <v>195</v>
      </c>
      <c r="K284" s="20"/>
      <c r="L284" s="20" t="s">
        <v>145</v>
      </c>
      <c r="M284" s="20">
        <v>282</v>
      </c>
      <c r="N284" s="20">
        <v>828</v>
      </c>
      <c r="O284" s="20">
        <v>5</v>
      </c>
      <c r="P284" s="20">
        <v>6</v>
      </c>
      <c r="Q284" s="21" t="s">
        <v>1166</v>
      </c>
      <c r="R284" s="20" t="s">
        <v>181</v>
      </c>
      <c r="S284" s="20" t="s">
        <v>148</v>
      </c>
      <c r="T284" s="20" t="s">
        <v>917</v>
      </c>
      <c r="U284" s="28"/>
    </row>
    <row r="285" ht="159" customHeight="1" spans="1:21">
      <c r="A285" s="20">
        <f t="shared" si="33"/>
        <v>280</v>
      </c>
      <c r="B285" s="20" t="s">
        <v>64</v>
      </c>
      <c r="C285" s="22" t="s">
        <v>65</v>
      </c>
      <c r="D285" s="20" t="s">
        <v>67</v>
      </c>
      <c r="E285" s="20" t="s">
        <v>1167</v>
      </c>
      <c r="F285" s="21" t="s">
        <v>1168</v>
      </c>
      <c r="G285" s="20" t="s">
        <v>178</v>
      </c>
      <c r="H285" s="20" t="s">
        <v>399</v>
      </c>
      <c r="I285" s="23">
        <f t="shared" si="31"/>
        <v>102</v>
      </c>
      <c r="J285" s="23">
        <v>102</v>
      </c>
      <c r="K285" s="20"/>
      <c r="L285" s="20" t="s">
        <v>145</v>
      </c>
      <c r="M285" s="20">
        <v>335</v>
      </c>
      <c r="N285" s="20">
        <v>931</v>
      </c>
      <c r="O285" s="20">
        <v>20</v>
      </c>
      <c r="P285" s="20">
        <v>49</v>
      </c>
      <c r="Q285" s="21" t="s">
        <v>1169</v>
      </c>
      <c r="R285" s="20" t="s">
        <v>181</v>
      </c>
      <c r="S285" s="20" t="s">
        <v>148</v>
      </c>
      <c r="T285" s="20" t="s">
        <v>917</v>
      </c>
      <c r="U285" s="28"/>
    </row>
    <row r="286" ht="137" customHeight="1" spans="1:21">
      <c r="A286" s="20">
        <f t="shared" si="33"/>
        <v>281</v>
      </c>
      <c r="B286" s="20" t="s">
        <v>64</v>
      </c>
      <c r="C286" s="22" t="s">
        <v>65</v>
      </c>
      <c r="D286" s="20" t="s">
        <v>67</v>
      </c>
      <c r="E286" s="20" t="s">
        <v>1170</v>
      </c>
      <c r="F286" s="21" t="s">
        <v>1171</v>
      </c>
      <c r="G286" s="20" t="s">
        <v>178</v>
      </c>
      <c r="H286" s="20" t="s">
        <v>433</v>
      </c>
      <c r="I286" s="23">
        <f t="shared" si="31"/>
        <v>126</v>
      </c>
      <c r="J286" s="23">
        <v>126</v>
      </c>
      <c r="K286" s="20"/>
      <c r="L286" s="20" t="s">
        <v>145</v>
      </c>
      <c r="M286" s="20">
        <v>227</v>
      </c>
      <c r="N286" s="20">
        <v>643</v>
      </c>
      <c r="O286" s="20">
        <v>16</v>
      </c>
      <c r="P286" s="20">
        <v>32</v>
      </c>
      <c r="Q286" s="21" t="s">
        <v>1172</v>
      </c>
      <c r="R286" s="20" t="s">
        <v>181</v>
      </c>
      <c r="S286" s="20" t="s">
        <v>148</v>
      </c>
      <c r="T286" s="20" t="s">
        <v>925</v>
      </c>
      <c r="U286" s="28"/>
    </row>
    <row r="287" ht="87" customHeight="1" spans="1:21">
      <c r="A287" s="20">
        <f t="shared" si="33"/>
        <v>282</v>
      </c>
      <c r="B287" s="20" t="s">
        <v>64</v>
      </c>
      <c r="C287" s="22" t="s">
        <v>65</v>
      </c>
      <c r="D287" s="20" t="s">
        <v>67</v>
      </c>
      <c r="E287" s="20" t="s">
        <v>1173</v>
      </c>
      <c r="F287" s="21" t="s">
        <v>1174</v>
      </c>
      <c r="G287" s="20" t="s">
        <v>272</v>
      </c>
      <c r="H287" s="20" t="s">
        <v>356</v>
      </c>
      <c r="I287" s="23">
        <f t="shared" si="31"/>
        <v>75</v>
      </c>
      <c r="J287" s="23">
        <v>75</v>
      </c>
      <c r="K287" s="20">
        <v>0</v>
      </c>
      <c r="L287" s="20" t="s">
        <v>145</v>
      </c>
      <c r="M287" s="20">
        <v>88</v>
      </c>
      <c r="N287" s="20">
        <v>241</v>
      </c>
      <c r="O287" s="20">
        <v>2</v>
      </c>
      <c r="P287" s="20">
        <v>4</v>
      </c>
      <c r="Q287" s="21" t="s">
        <v>1175</v>
      </c>
      <c r="R287" s="20" t="s">
        <v>275</v>
      </c>
      <c r="S287" s="20" t="s">
        <v>148</v>
      </c>
      <c r="T287" s="20" t="s">
        <v>276</v>
      </c>
      <c r="U287" s="28"/>
    </row>
    <row r="288" s="3" customFormat="1" ht="87" customHeight="1" spans="1:21">
      <c r="A288" s="20">
        <f t="shared" ref="A288:A297" si="34">ROW()-5</f>
        <v>283</v>
      </c>
      <c r="B288" s="20" t="s">
        <v>64</v>
      </c>
      <c r="C288" s="22" t="s">
        <v>65</v>
      </c>
      <c r="D288" s="20" t="s">
        <v>67</v>
      </c>
      <c r="E288" s="20" t="s">
        <v>1176</v>
      </c>
      <c r="F288" s="21" t="s">
        <v>1177</v>
      </c>
      <c r="G288" s="20" t="s">
        <v>272</v>
      </c>
      <c r="H288" s="20" t="s">
        <v>597</v>
      </c>
      <c r="I288" s="23">
        <f t="shared" si="31"/>
        <v>36.9</v>
      </c>
      <c r="J288" s="23">
        <v>36.9</v>
      </c>
      <c r="K288" s="20">
        <v>0</v>
      </c>
      <c r="L288" s="20" t="s">
        <v>145</v>
      </c>
      <c r="M288" s="20">
        <v>514</v>
      </c>
      <c r="N288" s="20">
        <v>1342</v>
      </c>
      <c r="O288" s="20">
        <v>19</v>
      </c>
      <c r="P288" s="20">
        <v>40</v>
      </c>
      <c r="Q288" s="21" t="s">
        <v>1178</v>
      </c>
      <c r="R288" s="20" t="s">
        <v>275</v>
      </c>
      <c r="S288" s="20" t="s">
        <v>148</v>
      </c>
      <c r="T288" s="20" t="s">
        <v>1179</v>
      </c>
      <c r="U288" s="28"/>
    </row>
    <row r="289" s="3" customFormat="1" ht="109" customHeight="1" spans="1:21">
      <c r="A289" s="20">
        <f t="shared" si="34"/>
        <v>284</v>
      </c>
      <c r="B289" s="20" t="s">
        <v>64</v>
      </c>
      <c r="C289" s="20" t="s">
        <v>65</v>
      </c>
      <c r="D289" s="20" t="s">
        <v>67</v>
      </c>
      <c r="E289" s="20" t="s">
        <v>1180</v>
      </c>
      <c r="F289" s="21" t="s">
        <v>1181</v>
      </c>
      <c r="G289" s="20" t="s">
        <v>279</v>
      </c>
      <c r="H289" s="20" t="s">
        <v>522</v>
      </c>
      <c r="I289" s="23">
        <f t="shared" si="31"/>
        <v>24.2</v>
      </c>
      <c r="J289" s="23">
        <v>24.2</v>
      </c>
      <c r="K289" s="20"/>
      <c r="L289" s="20" t="s">
        <v>145</v>
      </c>
      <c r="M289" s="20">
        <v>135</v>
      </c>
      <c r="N289" s="20">
        <v>297</v>
      </c>
      <c r="O289" s="20">
        <v>5</v>
      </c>
      <c r="P289" s="20">
        <v>8</v>
      </c>
      <c r="Q289" s="21" t="s">
        <v>1182</v>
      </c>
      <c r="R289" s="20" t="s">
        <v>282</v>
      </c>
      <c r="S289" s="20" t="s">
        <v>148</v>
      </c>
      <c r="T289" s="20" t="s">
        <v>392</v>
      </c>
      <c r="U289" s="20"/>
    </row>
    <row r="290" s="3" customFormat="1" ht="109" customHeight="1" spans="1:21">
      <c r="A290" s="20">
        <f t="shared" si="34"/>
        <v>285</v>
      </c>
      <c r="B290" s="20" t="s">
        <v>64</v>
      </c>
      <c r="C290" s="20" t="s">
        <v>65</v>
      </c>
      <c r="D290" s="20" t="s">
        <v>67</v>
      </c>
      <c r="E290" s="20" t="s">
        <v>1183</v>
      </c>
      <c r="F290" s="21" t="s">
        <v>1184</v>
      </c>
      <c r="G290" s="20" t="s">
        <v>279</v>
      </c>
      <c r="H290" s="20" t="s">
        <v>733</v>
      </c>
      <c r="I290" s="23">
        <f t="shared" si="31"/>
        <v>70</v>
      </c>
      <c r="J290" s="23">
        <v>70</v>
      </c>
      <c r="K290" s="20"/>
      <c r="L290" s="20" t="s">
        <v>145</v>
      </c>
      <c r="M290" s="20">
        <v>53</v>
      </c>
      <c r="N290" s="20">
        <v>160</v>
      </c>
      <c r="O290" s="20">
        <v>6</v>
      </c>
      <c r="P290" s="20">
        <v>13</v>
      </c>
      <c r="Q290" s="21" t="s">
        <v>1185</v>
      </c>
      <c r="R290" s="20" t="s">
        <v>282</v>
      </c>
      <c r="S290" s="20" t="s">
        <v>148</v>
      </c>
      <c r="T290" s="20" t="s">
        <v>392</v>
      </c>
      <c r="U290" s="20"/>
    </row>
    <row r="291" s="3" customFormat="1" ht="109" customHeight="1" spans="1:21">
      <c r="A291" s="20">
        <f t="shared" si="34"/>
        <v>286</v>
      </c>
      <c r="B291" s="20" t="s">
        <v>64</v>
      </c>
      <c r="C291" s="20" t="s">
        <v>65</v>
      </c>
      <c r="D291" s="20" t="s">
        <v>67</v>
      </c>
      <c r="E291" s="20" t="s">
        <v>1186</v>
      </c>
      <c r="F291" s="21" t="s">
        <v>1187</v>
      </c>
      <c r="G291" s="20" t="s">
        <v>279</v>
      </c>
      <c r="H291" s="20" t="s">
        <v>518</v>
      </c>
      <c r="I291" s="23">
        <f t="shared" si="31"/>
        <v>35.2</v>
      </c>
      <c r="J291" s="23">
        <v>35.2</v>
      </c>
      <c r="K291" s="20"/>
      <c r="L291" s="20" t="s">
        <v>145</v>
      </c>
      <c r="M291" s="20">
        <v>287</v>
      </c>
      <c r="N291" s="20">
        <v>936</v>
      </c>
      <c r="O291" s="20">
        <v>17</v>
      </c>
      <c r="P291" s="20">
        <v>46</v>
      </c>
      <c r="Q291" s="21" t="s">
        <v>1188</v>
      </c>
      <c r="R291" s="20" t="s">
        <v>282</v>
      </c>
      <c r="S291" s="20" t="s">
        <v>148</v>
      </c>
      <c r="T291" s="20" t="s">
        <v>392</v>
      </c>
      <c r="U291" s="20"/>
    </row>
    <row r="292" s="3" customFormat="1" ht="109" customHeight="1" spans="1:21">
      <c r="A292" s="20">
        <f t="shared" si="34"/>
        <v>287</v>
      </c>
      <c r="B292" s="20" t="s">
        <v>64</v>
      </c>
      <c r="C292" s="20" t="s">
        <v>65</v>
      </c>
      <c r="D292" s="20" t="s">
        <v>67</v>
      </c>
      <c r="E292" s="20" t="s">
        <v>1189</v>
      </c>
      <c r="F292" s="21" t="s">
        <v>1190</v>
      </c>
      <c r="G292" s="20" t="s">
        <v>279</v>
      </c>
      <c r="H292" s="20" t="s">
        <v>606</v>
      </c>
      <c r="I292" s="23">
        <f t="shared" si="31"/>
        <v>28.5</v>
      </c>
      <c r="J292" s="23">
        <v>28.5</v>
      </c>
      <c r="K292" s="20"/>
      <c r="L292" s="20" t="s">
        <v>145</v>
      </c>
      <c r="M292" s="20">
        <v>320</v>
      </c>
      <c r="N292" s="20">
        <v>790</v>
      </c>
      <c r="O292" s="20">
        <v>12</v>
      </c>
      <c r="P292" s="20">
        <v>23</v>
      </c>
      <c r="Q292" s="21" t="s">
        <v>1191</v>
      </c>
      <c r="R292" s="20" t="s">
        <v>282</v>
      </c>
      <c r="S292" s="20" t="s">
        <v>148</v>
      </c>
      <c r="T292" s="20" t="s">
        <v>392</v>
      </c>
      <c r="U292" s="20"/>
    </row>
    <row r="293" s="3" customFormat="1" ht="102" customHeight="1" spans="1:21">
      <c r="A293" s="20">
        <f t="shared" si="34"/>
        <v>288</v>
      </c>
      <c r="B293" s="20" t="s">
        <v>64</v>
      </c>
      <c r="C293" s="20" t="s">
        <v>65</v>
      </c>
      <c r="D293" s="20" t="s">
        <v>67</v>
      </c>
      <c r="E293" s="20" t="s">
        <v>1192</v>
      </c>
      <c r="F293" s="21" t="s">
        <v>1193</v>
      </c>
      <c r="G293" s="20" t="s">
        <v>279</v>
      </c>
      <c r="H293" s="20" t="s">
        <v>1029</v>
      </c>
      <c r="I293" s="23">
        <f t="shared" si="31"/>
        <v>48</v>
      </c>
      <c r="J293" s="23">
        <v>48</v>
      </c>
      <c r="K293" s="20"/>
      <c r="L293" s="20" t="s">
        <v>145</v>
      </c>
      <c r="M293" s="20">
        <v>103</v>
      </c>
      <c r="N293" s="20">
        <v>190</v>
      </c>
      <c r="O293" s="20">
        <v>3</v>
      </c>
      <c r="P293" s="20">
        <v>12</v>
      </c>
      <c r="Q293" s="21" t="s">
        <v>1194</v>
      </c>
      <c r="R293" s="20" t="s">
        <v>282</v>
      </c>
      <c r="S293" s="20" t="s">
        <v>148</v>
      </c>
      <c r="T293" s="20" t="s">
        <v>392</v>
      </c>
      <c r="U293" s="20"/>
    </row>
    <row r="294" s="5" customFormat="1" ht="102" customHeight="1" spans="1:21">
      <c r="A294" s="20">
        <f t="shared" si="34"/>
        <v>289</v>
      </c>
      <c r="B294" s="20" t="s">
        <v>64</v>
      </c>
      <c r="C294" s="33" t="s">
        <v>65</v>
      </c>
      <c r="D294" s="33" t="s">
        <v>67</v>
      </c>
      <c r="E294" s="20" t="s">
        <v>1195</v>
      </c>
      <c r="F294" s="21" t="s">
        <v>1196</v>
      </c>
      <c r="G294" s="20" t="s">
        <v>279</v>
      </c>
      <c r="H294" s="20" t="s">
        <v>1197</v>
      </c>
      <c r="I294" s="23">
        <f t="shared" si="31"/>
        <v>30</v>
      </c>
      <c r="J294" s="23">
        <v>30</v>
      </c>
      <c r="K294" s="20"/>
      <c r="L294" s="20" t="s">
        <v>145</v>
      </c>
      <c r="M294" s="20">
        <v>85</v>
      </c>
      <c r="N294" s="20">
        <v>213</v>
      </c>
      <c r="O294" s="20">
        <v>1</v>
      </c>
      <c r="P294" s="20">
        <v>1</v>
      </c>
      <c r="Q294" s="21" t="s">
        <v>1198</v>
      </c>
      <c r="R294" s="20" t="s">
        <v>282</v>
      </c>
      <c r="S294" s="20" t="s">
        <v>148</v>
      </c>
      <c r="T294" s="20" t="s">
        <v>149</v>
      </c>
      <c r="U294" s="20"/>
    </row>
    <row r="295" s="5" customFormat="1" ht="102" customHeight="1" spans="1:21">
      <c r="A295" s="20">
        <f t="shared" si="34"/>
        <v>290</v>
      </c>
      <c r="B295" s="20" t="s">
        <v>64</v>
      </c>
      <c r="C295" s="33" t="s">
        <v>65</v>
      </c>
      <c r="D295" s="33" t="s">
        <v>67</v>
      </c>
      <c r="E295" s="20" t="s">
        <v>1199</v>
      </c>
      <c r="F295" s="21" t="s">
        <v>1200</v>
      </c>
      <c r="G295" s="20" t="s">
        <v>279</v>
      </c>
      <c r="H295" s="20" t="s">
        <v>1197</v>
      </c>
      <c r="I295" s="23">
        <f t="shared" si="31"/>
        <v>45</v>
      </c>
      <c r="J295" s="23">
        <v>45</v>
      </c>
      <c r="K295" s="20"/>
      <c r="L295" s="20" t="s">
        <v>145</v>
      </c>
      <c r="M295" s="20">
        <v>155</v>
      </c>
      <c r="N295" s="20">
        <v>397</v>
      </c>
      <c r="O295" s="20">
        <v>6</v>
      </c>
      <c r="P295" s="20">
        <v>6</v>
      </c>
      <c r="Q295" s="21" t="s">
        <v>1201</v>
      </c>
      <c r="R295" s="20" t="s">
        <v>282</v>
      </c>
      <c r="S295" s="20" t="s">
        <v>148</v>
      </c>
      <c r="T295" s="20" t="s">
        <v>149</v>
      </c>
      <c r="U295" s="20"/>
    </row>
    <row r="296" s="3" customFormat="1" ht="108" customHeight="1" spans="1:21">
      <c r="A296" s="20">
        <f t="shared" si="34"/>
        <v>291</v>
      </c>
      <c r="B296" s="20" t="s">
        <v>64</v>
      </c>
      <c r="C296" s="33" t="s">
        <v>65</v>
      </c>
      <c r="D296" s="33" t="s">
        <v>67</v>
      </c>
      <c r="E296" s="20" t="s">
        <v>1202</v>
      </c>
      <c r="F296" s="21" t="s">
        <v>1203</v>
      </c>
      <c r="G296" s="20" t="s">
        <v>279</v>
      </c>
      <c r="H296" s="20" t="s">
        <v>1197</v>
      </c>
      <c r="I296" s="23">
        <f t="shared" si="31"/>
        <v>30</v>
      </c>
      <c r="J296" s="23">
        <v>30</v>
      </c>
      <c r="K296" s="20"/>
      <c r="L296" s="20" t="s">
        <v>145</v>
      </c>
      <c r="M296" s="20">
        <v>94</v>
      </c>
      <c r="N296" s="20">
        <v>260</v>
      </c>
      <c r="O296" s="20">
        <v>1</v>
      </c>
      <c r="P296" s="20">
        <v>2</v>
      </c>
      <c r="Q296" s="21" t="s">
        <v>1204</v>
      </c>
      <c r="R296" s="20" t="s">
        <v>282</v>
      </c>
      <c r="S296" s="20" t="s">
        <v>148</v>
      </c>
      <c r="T296" s="20" t="s">
        <v>149</v>
      </c>
      <c r="U296" s="20"/>
    </row>
    <row r="297" s="5" customFormat="1" ht="108" customHeight="1" spans="1:21">
      <c r="A297" s="20">
        <f t="shared" si="34"/>
        <v>292</v>
      </c>
      <c r="B297" s="20" t="s">
        <v>64</v>
      </c>
      <c r="C297" s="20" t="s">
        <v>65</v>
      </c>
      <c r="D297" s="20" t="s">
        <v>67</v>
      </c>
      <c r="E297" s="20" t="s">
        <v>1205</v>
      </c>
      <c r="F297" s="21" t="s">
        <v>1206</v>
      </c>
      <c r="G297" s="20" t="s">
        <v>185</v>
      </c>
      <c r="H297" s="20" t="s">
        <v>953</v>
      </c>
      <c r="I297" s="23">
        <f t="shared" si="31"/>
        <v>52.5</v>
      </c>
      <c r="J297" s="23">
        <v>52.5</v>
      </c>
      <c r="K297" s="28"/>
      <c r="L297" s="20" t="s">
        <v>145</v>
      </c>
      <c r="M297" s="20">
        <v>342</v>
      </c>
      <c r="N297" s="28">
        <v>845</v>
      </c>
      <c r="O297" s="28">
        <v>17</v>
      </c>
      <c r="P297" s="28">
        <v>26</v>
      </c>
      <c r="Q297" s="21" t="s">
        <v>1207</v>
      </c>
      <c r="R297" s="20" t="s">
        <v>188</v>
      </c>
      <c r="S297" s="20" t="s">
        <v>148</v>
      </c>
      <c r="T297" s="20" t="s">
        <v>189</v>
      </c>
      <c r="U297" s="28"/>
    </row>
    <row r="298" s="5" customFormat="1" ht="119" customHeight="1" spans="1:21">
      <c r="A298" s="20">
        <f t="shared" ref="A298:A307" si="35">ROW()-5</f>
        <v>293</v>
      </c>
      <c r="B298" s="20" t="s">
        <v>64</v>
      </c>
      <c r="C298" s="20" t="s">
        <v>65</v>
      </c>
      <c r="D298" s="20" t="s">
        <v>67</v>
      </c>
      <c r="E298" s="20" t="s">
        <v>1208</v>
      </c>
      <c r="F298" s="21" t="s">
        <v>1209</v>
      </c>
      <c r="G298" s="20" t="s">
        <v>185</v>
      </c>
      <c r="H298" s="20" t="s">
        <v>290</v>
      </c>
      <c r="I298" s="23">
        <f t="shared" si="31"/>
        <v>22.5</v>
      </c>
      <c r="J298" s="29">
        <v>22.5</v>
      </c>
      <c r="K298" s="28"/>
      <c r="L298" s="20" t="s">
        <v>145</v>
      </c>
      <c r="M298" s="28">
        <v>50</v>
      </c>
      <c r="N298" s="28">
        <v>120</v>
      </c>
      <c r="O298" s="28">
        <v>0</v>
      </c>
      <c r="P298" s="28">
        <v>0</v>
      </c>
      <c r="Q298" s="21" t="s">
        <v>1210</v>
      </c>
      <c r="R298" s="20" t="s">
        <v>188</v>
      </c>
      <c r="S298" s="20" t="s">
        <v>148</v>
      </c>
      <c r="T298" s="20" t="s">
        <v>189</v>
      </c>
      <c r="U298" s="28"/>
    </row>
    <row r="299" s="5" customFormat="1" ht="119" customHeight="1" spans="1:21">
      <c r="A299" s="20">
        <f t="shared" si="35"/>
        <v>294</v>
      </c>
      <c r="B299" s="20" t="s">
        <v>64</v>
      </c>
      <c r="C299" s="20" t="s">
        <v>65</v>
      </c>
      <c r="D299" s="20" t="s">
        <v>67</v>
      </c>
      <c r="E299" s="20" t="s">
        <v>1211</v>
      </c>
      <c r="F299" s="21" t="s">
        <v>1212</v>
      </c>
      <c r="G299" s="20" t="s">
        <v>185</v>
      </c>
      <c r="H299" s="20" t="s">
        <v>1213</v>
      </c>
      <c r="I299" s="23">
        <f t="shared" si="31"/>
        <v>51</v>
      </c>
      <c r="J299" s="23">
        <v>51</v>
      </c>
      <c r="K299" s="20"/>
      <c r="L299" s="20" t="s">
        <v>145</v>
      </c>
      <c r="M299" s="20">
        <v>615</v>
      </c>
      <c r="N299" s="20">
        <v>1575</v>
      </c>
      <c r="O299" s="20">
        <v>32</v>
      </c>
      <c r="P299" s="20">
        <v>50</v>
      </c>
      <c r="Q299" s="21" t="s">
        <v>1214</v>
      </c>
      <c r="R299" s="20" t="s">
        <v>188</v>
      </c>
      <c r="S299" s="20" t="s">
        <v>148</v>
      </c>
      <c r="T299" s="20" t="s">
        <v>189</v>
      </c>
      <c r="U299" s="28"/>
    </row>
    <row r="300" s="5" customFormat="1" ht="119" customHeight="1" spans="1:21">
      <c r="A300" s="20">
        <f t="shared" si="35"/>
        <v>295</v>
      </c>
      <c r="B300" s="20" t="s">
        <v>64</v>
      </c>
      <c r="C300" s="20" t="s">
        <v>65</v>
      </c>
      <c r="D300" s="22" t="s">
        <v>67</v>
      </c>
      <c r="E300" s="20" t="s">
        <v>1215</v>
      </c>
      <c r="F300" s="21" t="s">
        <v>1216</v>
      </c>
      <c r="G300" s="20" t="s">
        <v>185</v>
      </c>
      <c r="H300" s="22" t="s">
        <v>514</v>
      </c>
      <c r="I300" s="23">
        <f t="shared" si="31"/>
        <v>96.25</v>
      </c>
      <c r="J300" s="23">
        <v>96.25</v>
      </c>
      <c r="K300" s="20"/>
      <c r="L300" s="20" t="s">
        <v>145</v>
      </c>
      <c r="M300" s="20">
        <v>178</v>
      </c>
      <c r="N300" s="28">
        <v>600</v>
      </c>
      <c r="O300" s="28">
        <v>0</v>
      </c>
      <c r="P300" s="28">
        <v>0</v>
      </c>
      <c r="Q300" s="21" t="s">
        <v>1217</v>
      </c>
      <c r="R300" s="20" t="s">
        <v>188</v>
      </c>
      <c r="S300" s="20" t="s">
        <v>148</v>
      </c>
      <c r="T300" s="20" t="s">
        <v>189</v>
      </c>
      <c r="U300" s="28"/>
    </row>
    <row r="301" s="3" customFormat="1" ht="129" customHeight="1" spans="1:21">
      <c r="A301" s="20">
        <f t="shared" si="35"/>
        <v>296</v>
      </c>
      <c r="B301" s="20" t="s">
        <v>64</v>
      </c>
      <c r="C301" s="22" t="s">
        <v>65</v>
      </c>
      <c r="D301" s="20" t="s">
        <v>67</v>
      </c>
      <c r="E301" s="20" t="s">
        <v>1218</v>
      </c>
      <c r="F301" s="21" t="s">
        <v>1219</v>
      </c>
      <c r="G301" s="20" t="s">
        <v>220</v>
      </c>
      <c r="H301" s="20" t="s">
        <v>299</v>
      </c>
      <c r="I301" s="23">
        <f t="shared" si="31"/>
        <v>118.5</v>
      </c>
      <c r="J301" s="23">
        <v>118.5</v>
      </c>
      <c r="K301" s="20">
        <v>0</v>
      </c>
      <c r="L301" s="20" t="s">
        <v>145</v>
      </c>
      <c r="M301" s="20">
        <v>299</v>
      </c>
      <c r="N301" s="20">
        <v>1215</v>
      </c>
      <c r="O301" s="20">
        <v>5</v>
      </c>
      <c r="P301" s="20">
        <v>11</v>
      </c>
      <c r="Q301" s="21" t="s">
        <v>1220</v>
      </c>
      <c r="R301" s="20" t="s">
        <v>223</v>
      </c>
      <c r="S301" s="20" t="s">
        <v>148</v>
      </c>
      <c r="T301" s="20" t="s">
        <v>251</v>
      </c>
      <c r="U301" s="20"/>
    </row>
    <row r="302" s="3" customFormat="1" ht="106" customHeight="1" spans="1:21">
      <c r="A302" s="20">
        <f t="shared" si="35"/>
        <v>297</v>
      </c>
      <c r="B302" s="20" t="s">
        <v>64</v>
      </c>
      <c r="C302" s="20" t="s">
        <v>65</v>
      </c>
      <c r="D302" s="20" t="s">
        <v>67</v>
      </c>
      <c r="E302" s="20" t="s">
        <v>1221</v>
      </c>
      <c r="F302" s="21" t="s">
        <v>1222</v>
      </c>
      <c r="G302" s="20" t="s">
        <v>185</v>
      </c>
      <c r="H302" s="22" t="s">
        <v>497</v>
      </c>
      <c r="I302" s="23">
        <f t="shared" si="31"/>
        <v>25</v>
      </c>
      <c r="J302" s="23">
        <v>25</v>
      </c>
      <c r="K302" s="28"/>
      <c r="L302" s="20" t="s">
        <v>145</v>
      </c>
      <c r="M302" s="28">
        <v>354</v>
      </c>
      <c r="N302" s="28">
        <v>962</v>
      </c>
      <c r="O302" s="28">
        <v>12</v>
      </c>
      <c r="P302" s="28">
        <v>18</v>
      </c>
      <c r="Q302" s="21" t="s">
        <v>1223</v>
      </c>
      <c r="R302" s="20" t="s">
        <v>188</v>
      </c>
      <c r="S302" s="20" t="s">
        <v>148</v>
      </c>
      <c r="T302" s="20" t="s">
        <v>189</v>
      </c>
      <c r="U302" s="28"/>
    </row>
    <row r="303" ht="104.4" spans="1:21">
      <c r="A303" s="20">
        <f t="shared" si="35"/>
        <v>298</v>
      </c>
      <c r="B303" s="20" t="s">
        <v>64</v>
      </c>
      <c r="C303" s="20" t="s">
        <v>65</v>
      </c>
      <c r="D303" s="20" t="s">
        <v>67</v>
      </c>
      <c r="E303" s="20" t="s">
        <v>1224</v>
      </c>
      <c r="F303" s="21" t="s">
        <v>1225</v>
      </c>
      <c r="G303" s="20" t="s">
        <v>164</v>
      </c>
      <c r="H303" s="20" t="s">
        <v>268</v>
      </c>
      <c r="I303" s="23">
        <f t="shared" si="31"/>
        <v>80</v>
      </c>
      <c r="J303" s="29">
        <v>80</v>
      </c>
      <c r="K303" s="28"/>
      <c r="L303" s="28" t="s">
        <v>145</v>
      </c>
      <c r="M303" s="28">
        <v>81</v>
      </c>
      <c r="N303" s="28">
        <v>255</v>
      </c>
      <c r="O303" s="28">
        <v>4</v>
      </c>
      <c r="P303" s="28">
        <v>13</v>
      </c>
      <c r="Q303" s="21" t="s">
        <v>1226</v>
      </c>
      <c r="R303" s="20" t="s">
        <v>167</v>
      </c>
      <c r="S303" s="20" t="s">
        <v>148</v>
      </c>
      <c r="T303" s="20" t="s">
        <v>392</v>
      </c>
      <c r="U303" s="20"/>
    </row>
    <row r="304" ht="139.2" spans="1:21">
      <c r="A304" s="20">
        <f t="shared" si="35"/>
        <v>299</v>
      </c>
      <c r="B304" s="20" t="s">
        <v>64</v>
      </c>
      <c r="C304" s="20" t="s">
        <v>65</v>
      </c>
      <c r="D304" s="20" t="s">
        <v>67</v>
      </c>
      <c r="E304" s="20" t="s">
        <v>1227</v>
      </c>
      <c r="F304" s="21" t="s">
        <v>1228</v>
      </c>
      <c r="G304" s="20" t="s">
        <v>178</v>
      </c>
      <c r="H304" s="20" t="s">
        <v>437</v>
      </c>
      <c r="I304" s="23">
        <f t="shared" si="31"/>
        <v>52</v>
      </c>
      <c r="J304" s="23">
        <v>52</v>
      </c>
      <c r="K304" s="20">
        <v>0</v>
      </c>
      <c r="L304" s="20" t="s">
        <v>145</v>
      </c>
      <c r="M304" s="20">
        <v>44</v>
      </c>
      <c r="N304" s="20">
        <v>119</v>
      </c>
      <c r="O304" s="20">
        <v>4</v>
      </c>
      <c r="P304" s="20">
        <v>5</v>
      </c>
      <c r="Q304" s="21" t="s">
        <v>1229</v>
      </c>
      <c r="R304" s="20" t="s">
        <v>181</v>
      </c>
      <c r="S304" s="20" t="s">
        <v>148</v>
      </c>
      <c r="T304" s="20" t="s">
        <v>396</v>
      </c>
      <c r="U304" s="20"/>
    </row>
    <row r="305" ht="139.2" spans="1:21">
      <c r="A305" s="20">
        <f t="shared" si="35"/>
        <v>300</v>
      </c>
      <c r="B305" s="20" t="s">
        <v>64</v>
      </c>
      <c r="C305" s="20" t="s">
        <v>65</v>
      </c>
      <c r="D305" s="20" t="s">
        <v>67</v>
      </c>
      <c r="E305" s="20" t="s">
        <v>1230</v>
      </c>
      <c r="F305" s="21" t="s">
        <v>1231</v>
      </c>
      <c r="G305" s="20" t="s">
        <v>220</v>
      </c>
      <c r="H305" s="20" t="s">
        <v>227</v>
      </c>
      <c r="I305" s="23">
        <f t="shared" si="31"/>
        <v>50</v>
      </c>
      <c r="J305" s="23">
        <v>50</v>
      </c>
      <c r="K305" s="20">
        <v>0</v>
      </c>
      <c r="L305" s="20" t="s">
        <v>145</v>
      </c>
      <c r="M305" s="20">
        <v>437</v>
      </c>
      <c r="N305" s="20">
        <v>1034</v>
      </c>
      <c r="O305" s="20">
        <v>13</v>
      </c>
      <c r="P305" s="20">
        <v>16</v>
      </c>
      <c r="Q305" s="21" t="s">
        <v>1232</v>
      </c>
      <c r="R305" s="20" t="s">
        <v>223</v>
      </c>
      <c r="S305" s="20" t="s">
        <v>148</v>
      </c>
      <c r="T305" s="20" t="s">
        <v>763</v>
      </c>
      <c r="U305" s="20"/>
    </row>
    <row r="306" ht="139.2" spans="1:21">
      <c r="A306" s="20">
        <f t="shared" si="35"/>
        <v>301</v>
      </c>
      <c r="B306" s="20" t="s">
        <v>64</v>
      </c>
      <c r="C306" s="20" t="s">
        <v>65</v>
      </c>
      <c r="D306" s="20" t="s">
        <v>67</v>
      </c>
      <c r="E306" s="20" t="s">
        <v>1233</v>
      </c>
      <c r="F306" s="21" t="s">
        <v>1234</v>
      </c>
      <c r="G306" s="20" t="s">
        <v>220</v>
      </c>
      <c r="H306" s="20" t="s">
        <v>221</v>
      </c>
      <c r="I306" s="23">
        <f t="shared" si="31"/>
        <v>72</v>
      </c>
      <c r="J306" s="23">
        <v>72</v>
      </c>
      <c r="K306" s="20">
        <v>0</v>
      </c>
      <c r="L306" s="20" t="s">
        <v>145</v>
      </c>
      <c r="M306" s="20">
        <v>612</v>
      </c>
      <c r="N306" s="20">
        <v>1439</v>
      </c>
      <c r="O306" s="20">
        <v>23</v>
      </c>
      <c r="P306" s="20">
        <v>35</v>
      </c>
      <c r="Q306" s="21" t="s">
        <v>1235</v>
      </c>
      <c r="R306" s="20" t="s">
        <v>223</v>
      </c>
      <c r="S306" s="20" t="s">
        <v>148</v>
      </c>
      <c r="T306" s="20" t="s">
        <v>763</v>
      </c>
      <c r="U306" s="20"/>
    </row>
    <row r="307" ht="104.4" spans="1:21">
      <c r="A307" s="20">
        <f t="shared" si="35"/>
        <v>302</v>
      </c>
      <c r="B307" s="20" t="s">
        <v>64</v>
      </c>
      <c r="C307" s="22" t="s">
        <v>65</v>
      </c>
      <c r="D307" s="20" t="s">
        <v>67</v>
      </c>
      <c r="E307" s="20" t="s">
        <v>1236</v>
      </c>
      <c r="F307" s="21" t="s">
        <v>1237</v>
      </c>
      <c r="G307" s="20" t="s">
        <v>152</v>
      </c>
      <c r="H307" s="20" t="s">
        <v>307</v>
      </c>
      <c r="I307" s="23">
        <f t="shared" si="31"/>
        <v>30</v>
      </c>
      <c r="J307" s="23">
        <v>30</v>
      </c>
      <c r="K307" s="20"/>
      <c r="L307" s="20" t="s">
        <v>145</v>
      </c>
      <c r="M307" s="20">
        <v>66</v>
      </c>
      <c r="N307" s="20">
        <v>184</v>
      </c>
      <c r="O307" s="20">
        <v>5</v>
      </c>
      <c r="P307" s="20">
        <v>11</v>
      </c>
      <c r="Q307" s="21" t="s">
        <v>1238</v>
      </c>
      <c r="R307" s="20" t="s">
        <v>155</v>
      </c>
      <c r="S307" s="20" t="s">
        <v>148</v>
      </c>
      <c r="T307" s="20" t="s">
        <v>149</v>
      </c>
      <c r="U307" s="20"/>
    </row>
    <row r="308" ht="104.4" spans="1:21">
      <c r="A308" s="20">
        <f t="shared" ref="A308:A317" si="36">ROW()-5</f>
        <v>303</v>
      </c>
      <c r="B308" s="20" t="s">
        <v>64</v>
      </c>
      <c r="C308" s="22" t="s">
        <v>65</v>
      </c>
      <c r="D308" s="20" t="s">
        <v>67</v>
      </c>
      <c r="E308" s="20" t="s">
        <v>1239</v>
      </c>
      <c r="F308" s="21" t="s">
        <v>1240</v>
      </c>
      <c r="G308" s="20" t="s">
        <v>152</v>
      </c>
      <c r="H308" s="20" t="s">
        <v>307</v>
      </c>
      <c r="I308" s="23">
        <f t="shared" si="31"/>
        <v>30</v>
      </c>
      <c r="J308" s="23">
        <v>30</v>
      </c>
      <c r="K308" s="20"/>
      <c r="L308" s="20" t="s">
        <v>145</v>
      </c>
      <c r="M308" s="20">
        <v>101</v>
      </c>
      <c r="N308" s="20">
        <v>286</v>
      </c>
      <c r="O308" s="20">
        <v>5</v>
      </c>
      <c r="P308" s="20">
        <v>15</v>
      </c>
      <c r="Q308" s="21" t="s">
        <v>1241</v>
      </c>
      <c r="R308" s="20" t="s">
        <v>155</v>
      </c>
      <c r="S308" s="20" t="s">
        <v>148</v>
      </c>
      <c r="T308" s="20" t="s">
        <v>149</v>
      </c>
      <c r="U308" s="20"/>
    </row>
    <row r="309" ht="104.4" spans="1:21">
      <c r="A309" s="20">
        <f t="shared" si="36"/>
        <v>304</v>
      </c>
      <c r="B309" s="20" t="s">
        <v>64</v>
      </c>
      <c r="C309" s="22" t="s">
        <v>65</v>
      </c>
      <c r="D309" s="20" t="s">
        <v>67</v>
      </c>
      <c r="E309" s="20" t="s">
        <v>1242</v>
      </c>
      <c r="F309" s="21" t="s">
        <v>1243</v>
      </c>
      <c r="G309" s="20" t="s">
        <v>152</v>
      </c>
      <c r="H309" s="20" t="s">
        <v>307</v>
      </c>
      <c r="I309" s="23">
        <f t="shared" si="31"/>
        <v>75</v>
      </c>
      <c r="J309" s="23">
        <v>75</v>
      </c>
      <c r="K309" s="20"/>
      <c r="L309" s="20" t="s">
        <v>145</v>
      </c>
      <c r="M309" s="20">
        <v>62</v>
      </c>
      <c r="N309" s="20">
        <v>181</v>
      </c>
      <c r="O309" s="20">
        <v>3</v>
      </c>
      <c r="P309" s="20">
        <v>7</v>
      </c>
      <c r="Q309" s="21" t="s">
        <v>1244</v>
      </c>
      <c r="R309" s="20" t="s">
        <v>155</v>
      </c>
      <c r="S309" s="20" t="s">
        <v>148</v>
      </c>
      <c r="T309" s="20" t="s">
        <v>149</v>
      </c>
      <c r="U309" s="20"/>
    </row>
    <row r="310" ht="121.8" spans="1:21">
      <c r="A310" s="20">
        <f t="shared" si="36"/>
        <v>305</v>
      </c>
      <c r="B310" s="20" t="s">
        <v>64</v>
      </c>
      <c r="C310" s="20" t="s">
        <v>65</v>
      </c>
      <c r="D310" s="20" t="s">
        <v>67</v>
      </c>
      <c r="E310" s="20" t="s">
        <v>1245</v>
      </c>
      <c r="F310" s="21" t="s">
        <v>1246</v>
      </c>
      <c r="G310" s="20" t="s">
        <v>279</v>
      </c>
      <c r="H310" s="20" t="s">
        <v>723</v>
      </c>
      <c r="I310" s="23">
        <f t="shared" si="31"/>
        <v>25.56</v>
      </c>
      <c r="J310" s="23">
        <v>25.56</v>
      </c>
      <c r="K310" s="20"/>
      <c r="L310" s="20" t="s">
        <v>145</v>
      </c>
      <c r="M310" s="20">
        <v>108</v>
      </c>
      <c r="N310" s="20">
        <v>277</v>
      </c>
      <c r="O310" s="20">
        <v>6</v>
      </c>
      <c r="P310" s="20">
        <v>12</v>
      </c>
      <c r="Q310" s="21" t="s">
        <v>1247</v>
      </c>
      <c r="R310" s="20" t="s">
        <v>282</v>
      </c>
      <c r="S310" s="20" t="s">
        <v>148</v>
      </c>
      <c r="T310" s="20" t="s">
        <v>387</v>
      </c>
      <c r="U310" s="20"/>
    </row>
    <row r="311" ht="104.4" spans="1:21">
      <c r="A311" s="20">
        <f t="shared" si="36"/>
        <v>306</v>
      </c>
      <c r="B311" s="20" t="s">
        <v>64</v>
      </c>
      <c r="C311" s="20" t="s">
        <v>65</v>
      </c>
      <c r="D311" s="20" t="s">
        <v>67</v>
      </c>
      <c r="E311" s="20" t="s">
        <v>1248</v>
      </c>
      <c r="F311" s="21" t="s">
        <v>1249</v>
      </c>
      <c r="G311" s="20" t="s">
        <v>370</v>
      </c>
      <c r="H311" s="20" t="s">
        <v>479</v>
      </c>
      <c r="I311" s="23">
        <f t="shared" si="31"/>
        <v>45</v>
      </c>
      <c r="J311" s="23">
        <v>45</v>
      </c>
      <c r="K311" s="20"/>
      <c r="L311" s="20" t="s">
        <v>145</v>
      </c>
      <c r="M311" s="20">
        <v>449</v>
      </c>
      <c r="N311" s="20">
        <v>1146</v>
      </c>
      <c r="O311" s="20">
        <v>55</v>
      </c>
      <c r="P311" s="20">
        <v>119</v>
      </c>
      <c r="Q311" s="21" t="s">
        <v>1250</v>
      </c>
      <c r="R311" s="20" t="s">
        <v>373</v>
      </c>
      <c r="S311" s="20" t="s">
        <v>148</v>
      </c>
      <c r="T311" s="20" t="s">
        <v>451</v>
      </c>
      <c r="U311" s="20"/>
    </row>
    <row r="312" s="5" customFormat="1" ht="102" customHeight="1" spans="1:21">
      <c r="A312" s="20">
        <f t="shared" si="36"/>
        <v>307</v>
      </c>
      <c r="B312" s="35" t="s">
        <v>64</v>
      </c>
      <c r="C312" s="22" t="s">
        <v>65</v>
      </c>
      <c r="D312" s="35" t="s">
        <v>68</v>
      </c>
      <c r="E312" s="35" t="s">
        <v>1251</v>
      </c>
      <c r="F312" s="38" t="s">
        <v>1252</v>
      </c>
      <c r="G312" s="35" t="s">
        <v>143</v>
      </c>
      <c r="H312" s="35" t="s">
        <v>1253</v>
      </c>
      <c r="I312" s="23">
        <f t="shared" si="31"/>
        <v>150</v>
      </c>
      <c r="J312" s="23">
        <v>150</v>
      </c>
      <c r="K312" s="35"/>
      <c r="L312" s="20" t="s">
        <v>145</v>
      </c>
      <c r="M312" s="20">
        <v>87</v>
      </c>
      <c r="N312" s="20">
        <v>265</v>
      </c>
      <c r="O312" s="20">
        <v>0</v>
      </c>
      <c r="P312" s="20">
        <v>0</v>
      </c>
      <c r="Q312" s="21" t="s">
        <v>1254</v>
      </c>
      <c r="R312" s="20" t="s">
        <v>147</v>
      </c>
      <c r="S312" s="20" t="s">
        <v>1255</v>
      </c>
      <c r="T312" s="20" t="s">
        <v>149</v>
      </c>
      <c r="U312" s="20"/>
    </row>
    <row r="313" s="6" customFormat="1" ht="109" customHeight="1" spans="1:21">
      <c r="A313" s="20">
        <f t="shared" si="36"/>
        <v>308</v>
      </c>
      <c r="B313" s="20" t="s">
        <v>64</v>
      </c>
      <c r="C313" s="22" t="s">
        <v>65</v>
      </c>
      <c r="D313" s="20" t="s">
        <v>68</v>
      </c>
      <c r="E313" s="20" t="s">
        <v>1256</v>
      </c>
      <c r="F313" s="21" t="s">
        <v>1257</v>
      </c>
      <c r="G313" s="20" t="s">
        <v>556</v>
      </c>
      <c r="H313" s="20" t="s">
        <v>852</v>
      </c>
      <c r="I313" s="23">
        <f t="shared" si="31"/>
        <v>60</v>
      </c>
      <c r="J313" s="23">
        <v>60</v>
      </c>
      <c r="K313" s="20"/>
      <c r="L313" s="20" t="s">
        <v>145</v>
      </c>
      <c r="M313" s="20">
        <v>155</v>
      </c>
      <c r="N313" s="20">
        <v>483</v>
      </c>
      <c r="O313" s="20">
        <v>10</v>
      </c>
      <c r="P313" s="20">
        <v>22</v>
      </c>
      <c r="Q313" s="21" t="s">
        <v>1258</v>
      </c>
      <c r="R313" s="20" t="s">
        <v>558</v>
      </c>
      <c r="S313" s="20" t="s">
        <v>1255</v>
      </c>
      <c r="T313" s="20" t="s">
        <v>1101</v>
      </c>
      <c r="U313" s="20"/>
    </row>
    <row r="314" s="6" customFormat="1" ht="104.4" spans="1:21">
      <c r="A314" s="20">
        <f t="shared" si="36"/>
        <v>309</v>
      </c>
      <c r="B314" s="20" t="s">
        <v>64</v>
      </c>
      <c r="C314" s="22" t="s">
        <v>65</v>
      </c>
      <c r="D314" s="20" t="s">
        <v>68</v>
      </c>
      <c r="E314" s="20" t="s">
        <v>1259</v>
      </c>
      <c r="F314" s="21" t="s">
        <v>1260</v>
      </c>
      <c r="G314" s="20" t="s">
        <v>556</v>
      </c>
      <c r="H314" s="20" t="s">
        <v>1104</v>
      </c>
      <c r="I314" s="23">
        <f t="shared" si="31"/>
        <v>95</v>
      </c>
      <c r="J314" s="23">
        <v>95</v>
      </c>
      <c r="K314" s="20"/>
      <c r="L314" s="20" t="s">
        <v>145</v>
      </c>
      <c r="M314" s="20">
        <v>323</v>
      </c>
      <c r="N314" s="20">
        <v>886</v>
      </c>
      <c r="O314" s="20">
        <v>10</v>
      </c>
      <c r="P314" s="20">
        <v>17</v>
      </c>
      <c r="Q314" s="21" t="s">
        <v>1261</v>
      </c>
      <c r="R314" s="20" t="s">
        <v>558</v>
      </c>
      <c r="S314" s="20" t="s">
        <v>1255</v>
      </c>
      <c r="T314" s="20" t="s">
        <v>189</v>
      </c>
      <c r="U314" s="20"/>
    </row>
    <row r="315" s="6" customFormat="1" ht="105" customHeight="1" spans="1:21">
      <c r="A315" s="20">
        <f t="shared" si="36"/>
        <v>310</v>
      </c>
      <c r="B315" s="20" t="s">
        <v>64</v>
      </c>
      <c r="C315" s="22" t="s">
        <v>65</v>
      </c>
      <c r="D315" s="22" t="s">
        <v>68</v>
      </c>
      <c r="E315" s="20" t="s">
        <v>1262</v>
      </c>
      <c r="F315" s="21" t="s">
        <v>1263</v>
      </c>
      <c r="G315" s="20" t="s">
        <v>220</v>
      </c>
      <c r="H315" s="20" t="s">
        <v>583</v>
      </c>
      <c r="I315" s="23">
        <f t="shared" si="31"/>
        <v>40</v>
      </c>
      <c r="J315" s="23">
        <v>40</v>
      </c>
      <c r="K315" s="20">
        <v>0</v>
      </c>
      <c r="L315" s="20" t="s">
        <v>145</v>
      </c>
      <c r="M315" s="20">
        <v>310</v>
      </c>
      <c r="N315" s="20">
        <v>760</v>
      </c>
      <c r="O315" s="20">
        <v>2</v>
      </c>
      <c r="P315" s="20">
        <v>3</v>
      </c>
      <c r="Q315" s="21" t="s">
        <v>1264</v>
      </c>
      <c r="R315" s="20" t="s">
        <v>223</v>
      </c>
      <c r="S315" s="20" t="s">
        <v>1255</v>
      </c>
      <c r="T315" s="20" t="s">
        <v>585</v>
      </c>
      <c r="U315" s="20"/>
    </row>
    <row r="316" s="3" customFormat="1" ht="114" customHeight="1" spans="1:21">
      <c r="A316" s="20">
        <f t="shared" si="36"/>
        <v>311</v>
      </c>
      <c r="B316" s="20" t="s">
        <v>64</v>
      </c>
      <c r="C316" s="22" t="s">
        <v>65</v>
      </c>
      <c r="D316" s="20" t="s">
        <v>68</v>
      </c>
      <c r="E316" s="20" t="s">
        <v>1265</v>
      </c>
      <c r="F316" s="21" t="s">
        <v>1266</v>
      </c>
      <c r="G316" s="20" t="s">
        <v>343</v>
      </c>
      <c r="H316" s="20" t="s">
        <v>626</v>
      </c>
      <c r="I316" s="23">
        <f t="shared" si="31"/>
        <v>25.73</v>
      </c>
      <c r="J316" s="23">
        <v>25.73</v>
      </c>
      <c r="K316" s="20"/>
      <c r="L316" s="20" t="s">
        <v>145</v>
      </c>
      <c r="M316" s="20">
        <v>34</v>
      </c>
      <c r="N316" s="20">
        <v>114</v>
      </c>
      <c r="O316" s="20">
        <v>1</v>
      </c>
      <c r="P316" s="20">
        <v>4</v>
      </c>
      <c r="Q316" s="21" t="s">
        <v>1267</v>
      </c>
      <c r="R316" s="20" t="s">
        <v>346</v>
      </c>
      <c r="S316" s="20" t="s">
        <v>1255</v>
      </c>
      <c r="T316" s="20" t="s">
        <v>347</v>
      </c>
      <c r="U316" s="20"/>
    </row>
    <row r="317" s="3" customFormat="1" ht="106" customHeight="1" spans="1:21">
      <c r="A317" s="20">
        <f t="shared" si="36"/>
        <v>312</v>
      </c>
      <c r="B317" s="20" t="s">
        <v>64</v>
      </c>
      <c r="C317" s="22" t="s">
        <v>65</v>
      </c>
      <c r="D317" s="20" t="s">
        <v>68</v>
      </c>
      <c r="E317" s="20" t="s">
        <v>1268</v>
      </c>
      <c r="F317" s="21" t="s">
        <v>1269</v>
      </c>
      <c r="G317" s="20" t="s">
        <v>272</v>
      </c>
      <c r="H317" s="20" t="s">
        <v>356</v>
      </c>
      <c r="I317" s="23">
        <f t="shared" si="31"/>
        <v>20</v>
      </c>
      <c r="J317" s="23">
        <v>20</v>
      </c>
      <c r="K317" s="20">
        <v>0</v>
      </c>
      <c r="L317" s="20" t="s">
        <v>145</v>
      </c>
      <c r="M317" s="20">
        <v>46</v>
      </c>
      <c r="N317" s="20">
        <v>129</v>
      </c>
      <c r="O317" s="20">
        <v>0</v>
      </c>
      <c r="P317" s="20">
        <v>0</v>
      </c>
      <c r="Q317" s="21" t="s">
        <v>1270</v>
      </c>
      <c r="R317" s="20" t="s">
        <v>1255</v>
      </c>
      <c r="S317" s="20" t="s">
        <v>1255</v>
      </c>
      <c r="T317" s="20" t="s">
        <v>276</v>
      </c>
      <c r="U317" s="28"/>
    </row>
    <row r="318" s="3" customFormat="1" ht="91" customHeight="1" spans="1:21">
      <c r="A318" s="20">
        <f t="shared" ref="A318:A327" si="37">ROW()-5</f>
        <v>313</v>
      </c>
      <c r="B318" s="20" t="s">
        <v>64</v>
      </c>
      <c r="C318" s="22" t="s">
        <v>65</v>
      </c>
      <c r="D318" s="20" t="s">
        <v>68</v>
      </c>
      <c r="E318" s="20" t="s">
        <v>1271</v>
      </c>
      <c r="F318" s="21" t="s">
        <v>1272</v>
      </c>
      <c r="G318" s="20" t="s">
        <v>272</v>
      </c>
      <c r="H318" s="20" t="s">
        <v>356</v>
      </c>
      <c r="I318" s="23">
        <f t="shared" si="31"/>
        <v>20</v>
      </c>
      <c r="J318" s="23">
        <v>20</v>
      </c>
      <c r="K318" s="20">
        <v>0</v>
      </c>
      <c r="L318" s="20" t="s">
        <v>145</v>
      </c>
      <c r="M318" s="20">
        <v>26</v>
      </c>
      <c r="N318" s="20">
        <v>74</v>
      </c>
      <c r="O318" s="20">
        <v>1</v>
      </c>
      <c r="P318" s="20">
        <v>4</v>
      </c>
      <c r="Q318" s="21" t="s">
        <v>1273</v>
      </c>
      <c r="R318" s="20" t="s">
        <v>1255</v>
      </c>
      <c r="S318" s="20" t="s">
        <v>1255</v>
      </c>
      <c r="T318" s="20" t="s">
        <v>276</v>
      </c>
      <c r="U318" s="28"/>
    </row>
    <row r="319" s="3" customFormat="1" ht="114" customHeight="1" spans="1:21">
      <c r="A319" s="20">
        <f t="shared" si="37"/>
        <v>314</v>
      </c>
      <c r="B319" s="20" t="s">
        <v>64</v>
      </c>
      <c r="C319" s="22" t="s">
        <v>65</v>
      </c>
      <c r="D319" s="20" t="s">
        <v>68</v>
      </c>
      <c r="E319" s="20" t="s">
        <v>1274</v>
      </c>
      <c r="F319" s="21" t="s">
        <v>1275</v>
      </c>
      <c r="G319" s="20" t="s">
        <v>272</v>
      </c>
      <c r="H319" s="20" t="s">
        <v>273</v>
      </c>
      <c r="I319" s="23">
        <f t="shared" si="31"/>
        <v>58.6</v>
      </c>
      <c r="J319" s="23">
        <v>58.6</v>
      </c>
      <c r="K319" s="20">
        <v>0</v>
      </c>
      <c r="L319" s="20" t="s">
        <v>145</v>
      </c>
      <c r="M319" s="20">
        <v>69</v>
      </c>
      <c r="N319" s="20">
        <v>168</v>
      </c>
      <c r="O319" s="20">
        <v>4</v>
      </c>
      <c r="P319" s="20">
        <v>8</v>
      </c>
      <c r="Q319" s="21" t="s">
        <v>1276</v>
      </c>
      <c r="R319" s="20" t="s">
        <v>275</v>
      </c>
      <c r="S319" s="20" t="s">
        <v>1255</v>
      </c>
      <c r="T319" s="20" t="s">
        <v>276</v>
      </c>
      <c r="U319" s="28"/>
    </row>
    <row r="320" s="3" customFormat="1" ht="114" customHeight="1" spans="1:21">
      <c r="A320" s="20">
        <f t="shared" si="37"/>
        <v>315</v>
      </c>
      <c r="B320" s="20" t="s">
        <v>64</v>
      </c>
      <c r="C320" s="22" t="s">
        <v>65</v>
      </c>
      <c r="D320" s="20" t="s">
        <v>68</v>
      </c>
      <c r="E320" s="20" t="s">
        <v>1277</v>
      </c>
      <c r="F320" s="21" t="s">
        <v>1278</v>
      </c>
      <c r="G320" s="20" t="s">
        <v>272</v>
      </c>
      <c r="H320" s="20" t="s">
        <v>1279</v>
      </c>
      <c r="I320" s="23">
        <f t="shared" si="31"/>
        <v>15</v>
      </c>
      <c r="J320" s="23">
        <v>15</v>
      </c>
      <c r="K320" s="20">
        <v>0</v>
      </c>
      <c r="L320" s="20" t="s">
        <v>145</v>
      </c>
      <c r="M320" s="20">
        <v>40</v>
      </c>
      <c r="N320" s="20">
        <v>106</v>
      </c>
      <c r="O320" s="20">
        <v>0</v>
      </c>
      <c r="P320" s="20">
        <v>0</v>
      </c>
      <c r="Q320" s="21" t="s">
        <v>1280</v>
      </c>
      <c r="R320" s="20" t="s">
        <v>1255</v>
      </c>
      <c r="S320" s="20" t="s">
        <v>1255</v>
      </c>
      <c r="T320" s="20" t="s">
        <v>652</v>
      </c>
      <c r="U320" s="28"/>
    </row>
    <row r="321" s="3" customFormat="1" ht="114" customHeight="1" spans="1:21">
      <c r="A321" s="20">
        <f t="shared" si="37"/>
        <v>316</v>
      </c>
      <c r="B321" s="20" t="s">
        <v>64</v>
      </c>
      <c r="C321" s="22" t="s">
        <v>65</v>
      </c>
      <c r="D321" s="20" t="s">
        <v>68</v>
      </c>
      <c r="E321" s="20" t="s">
        <v>1281</v>
      </c>
      <c r="F321" s="21" t="s">
        <v>1282</v>
      </c>
      <c r="G321" s="20" t="s">
        <v>272</v>
      </c>
      <c r="H321" s="20" t="s">
        <v>1283</v>
      </c>
      <c r="I321" s="23">
        <f t="shared" si="31"/>
        <v>30</v>
      </c>
      <c r="J321" s="23">
        <v>30</v>
      </c>
      <c r="K321" s="20">
        <v>0</v>
      </c>
      <c r="L321" s="20" t="s">
        <v>145</v>
      </c>
      <c r="M321" s="20">
        <v>68</v>
      </c>
      <c r="N321" s="20">
        <v>201</v>
      </c>
      <c r="O321" s="20">
        <v>4</v>
      </c>
      <c r="P321" s="20">
        <v>12</v>
      </c>
      <c r="Q321" s="21" t="s">
        <v>1284</v>
      </c>
      <c r="R321" s="20" t="s">
        <v>275</v>
      </c>
      <c r="S321" s="20" t="s">
        <v>1255</v>
      </c>
      <c r="T321" s="20" t="s">
        <v>652</v>
      </c>
      <c r="U321" s="28"/>
    </row>
    <row r="322" s="3" customFormat="1" ht="104" customHeight="1" spans="1:21">
      <c r="A322" s="20">
        <f t="shared" si="37"/>
        <v>317</v>
      </c>
      <c r="B322" s="20" t="s">
        <v>64</v>
      </c>
      <c r="C322" s="22" t="s">
        <v>65</v>
      </c>
      <c r="D322" s="20" t="s">
        <v>68</v>
      </c>
      <c r="E322" s="20" t="s">
        <v>1285</v>
      </c>
      <c r="F322" s="21" t="s">
        <v>1286</v>
      </c>
      <c r="G322" s="20" t="s">
        <v>272</v>
      </c>
      <c r="H322" s="20" t="s">
        <v>1283</v>
      </c>
      <c r="I322" s="23">
        <f t="shared" si="31"/>
        <v>30</v>
      </c>
      <c r="J322" s="23">
        <v>30</v>
      </c>
      <c r="K322" s="20">
        <v>0</v>
      </c>
      <c r="L322" s="20" t="s">
        <v>145</v>
      </c>
      <c r="M322" s="20">
        <v>95</v>
      </c>
      <c r="N322" s="20">
        <v>253</v>
      </c>
      <c r="O322" s="20">
        <v>7</v>
      </c>
      <c r="P322" s="20">
        <v>10</v>
      </c>
      <c r="Q322" s="21" t="s">
        <v>1287</v>
      </c>
      <c r="R322" s="20" t="s">
        <v>1255</v>
      </c>
      <c r="S322" s="20" t="s">
        <v>1255</v>
      </c>
      <c r="T322" s="20" t="s">
        <v>652</v>
      </c>
      <c r="U322" s="28"/>
    </row>
    <row r="323" s="3" customFormat="1" ht="99" customHeight="1" spans="1:21">
      <c r="A323" s="20">
        <f t="shared" si="37"/>
        <v>318</v>
      </c>
      <c r="B323" s="20" t="s">
        <v>64</v>
      </c>
      <c r="C323" s="22" t="s">
        <v>65</v>
      </c>
      <c r="D323" s="20" t="s">
        <v>68</v>
      </c>
      <c r="E323" s="20" t="s">
        <v>1288</v>
      </c>
      <c r="F323" s="21" t="s">
        <v>1289</v>
      </c>
      <c r="G323" s="20" t="s">
        <v>171</v>
      </c>
      <c r="H323" s="20" t="s">
        <v>1044</v>
      </c>
      <c r="I323" s="23">
        <f t="shared" si="31"/>
        <v>40</v>
      </c>
      <c r="J323" s="23">
        <v>40</v>
      </c>
      <c r="K323" s="20">
        <v>0</v>
      </c>
      <c r="L323" s="20" t="s">
        <v>145</v>
      </c>
      <c r="M323" s="20">
        <v>24</v>
      </c>
      <c r="N323" s="20">
        <v>68</v>
      </c>
      <c r="O323" s="20">
        <v>5</v>
      </c>
      <c r="P323" s="20">
        <v>8</v>
      </c>
      <c r="Q323" s="21" t="s">
        <v>1290</v>
      </c>
      <c r="R323" s="20" t="s">
        <v>174</v>
      </c>
      <c r="S323" s="20" t="s">
        <v>1255</v>
      </c>
      <c r="T323" s="20" t="s">
        <v>256</v>
      </c>
      <c r="U323" s="28"/>
    </row>
    <row r="324" s="3" customFormat="1" ht="94" customHeight="1" spans="1:21">
      <c r="A324" s="20">
        <f t="shared" si="37"/>
        <v>319</v>
      </c>
      <c r="B324" s="20" t="s">
        <v>64</v>
      </c>
      <c r="C324" s="22" t="s">
        <v>65</v>
      </c>
      <c r="D324" s="20" t="s">
        <v>68</v>
      </c>
      <c r="E324" s="20" t="s">
        <v>1291</v>
      </c>
      <c r="F324" s="21" t="s">
        <v>1292</v>
      </c>
      <c r="G324" s="20" t="s">
        <v>171</v>
      </c>
      <c r="H324" s="20" t="s">
        <v>1293</v>
      </c>
      <c r="I324" s="23">
        <f t="shared" si="31"/>
        <v>35</v>
      </c>
      <c r="J324" s="23">
        <v>35</v>
      </c>
      <c r="K324" s="20"/>
      <c r="L324" s="20" t="s">
        <v>145</v>
      </c>
      <c r="M324" s="20">
        <v>30</v>
      </c>
      <c r="N324" s="20">
        <v>91</v>
      </c>
      <c r="O324" s="20">
        <v>0</v>
      </c>
      <c r="P324" s="20">
        <v>0</v>
      </c>
      <c r="Q324" s="21" t="s">
        <v>1294</v>
      </c>
      <c r="R324" s="20" t="s">
        <v>174</v>
      </c>
      <c r="S324" s="20" t="s">
        <v>1255</v>
      </c>
      <c r="T324" s="20" t="s">
        <v>256</v>
      </c>
      <c r="U324" s="28"/>
    </row>
    <row r="325" s="3" customFormat="1" ht="100" customHeight="1" spans="1:21">
      <c r="A325" s="20">
        <f t="shared" si="37"/>
        <v>320</v>
      </c>
      <c r="B325" s="20" t="s">
        <v>64</v>
      </c>
      <c r="C325" s="20" t="s">
        <v>65</v>
      </c>
      <c r="D325" s="20" t="s">
        <v>68</v>
      </c>
      <c r="E325" s="20" t="s">
        <v>1295</v>
      </c>
      <c r="F325" s="21" t="s">
        <v>1296</v>
      </c>
      <c r="G325" s="20" t="s">
        <v>448</v>
      </c>
      <c r="H325" s="20" t="s">
        <v>385</v>
      </c>
      <c r="I325" s="23">
        <f t="shared" si="31"/>
        <v>280</v>
      </c>
      <c r="J325" s="23">
        <v>280</v>
      </c>
      <c r="K325" s="20"/>
      <c r="L325" s="20" t="s">
        <v>145</v>
      </c>
      <c r="M325" s="20">
        <v>1112</v>
      </c>
      <c r="N325" s="20">
        <v>2780</v>
      </c>
      <c r="O325" s="20">
        <v>164</v>
      </c>
      <c r="P325" s="20">
        <v>316</v>
      </c>
      <c r="Q325" s="21" t="s">
        <v>1297</v>
      </c>
      <c r="R325" s="20" t="s">
        <v>1255</v>
      </c>
      <c r="S325" s="20" t="s">
        <v>1255</v>
      </c>
      <c r="T325" s="20" t="s">
        <v>392</v>
      </c>
      <c r="U325" s="28"/>
    </row>
    <row r="326" s="3" customFormat="1" ht="102" customHeight="1" spans="1:21">
      <c r="A326" s="20">
        <f t="shared" si="37"/>
        <v>321</v>
      </c>
      <c r="B326" s="20" t="s">
        <v>64</v>
      </c>
      <c r="C326" s="20" t="s">
        <v>65</v>
      </c>
      <c r="D326" s="20" t="s">
        <v>68</v>
      </c>
      <c r="E326" s="20" t="s">
        <v>1298</v>
      </c>
      <c r="F326" s="21" t="s">
        <v>1299</v>
      </c>
      <c r="G326" s="20" t="s">
        <v>448</v>
      </c>
      <c r="H326" s="20" t="s">
        <v>385</v>
      </c>
      <c r="I326" s="23">
        <f t="shared" si="31"/>
        <v>180</v>
      </c>
      <c r="J326" s="23">
        <v>180</v>
      </c>
      <c r="K326" s="20"/>
      <c r="L326" s="20" t="s">
        <v>145</v>
      </c>
      <c r="M326" s="20">
        <v>2106</v>
      </c>
      <c r="N326" s="20">
        <v>5265</v>
      </c>
      <c r="O326" s="20">
        <v>446</v>
      </c>
      <c r="P326" s="20">
        <v>669</v>
      </c>
      <c r="Q326" s="21" t="s">
        <v>1300</v>
      </c>
      <c r="R326" s="20" t="s">
        <v>1255</v>
      </c>
      <c r="S326" s="20" t="s">
        <v>1255</v>
      </c>
      <c r="T326" s="20" t="s">
        <v>392</v>
      </c>
      <c r="U326" s="28"/>
    </row>
    <row r="327" s="3" customFormat="1" ht="109" customHeight="1" spans="1:21">
      <c r="A327" s="20">
        <f t="shared" si="37"/>
        <v>322</v>
      </c>
      <c r="B327" s="20" t="s">
        <v>64</v>
      </c>
      <c r="C327" s="20" t="s">
        <v>65</v>
      </c>
      <c r="D327" s="20" t="s">
        <v>68</v>
      </c>
      <c r="E327" s="20" t="s">
        <v>1301</v>
      </c>
      <c r="F327" s="21" t="s">
        <v>1302</v>
      </c>
      <c r="G327" s="20" t="s">
        <v>448</v>
      </c>
      <c r="H327" s="20" t="s">
        <v>385</v>
      </c>
      <c r="I327" s="23">
        <f t="shared" ref="I327:I390" si="38">J327+K327</f>
        <v>200</v>
      </c>
      <c r="J327" s="23">
        <v>200</v>
      </c>
      <c r="K327" s="20"/>
      <c r="L327" s="20" t="s">
        <v>145</v>
      </c>
      <c r="M327" s="20">
        <v>27344</v>
      </c>
      <c r="N327" s="20">
        <v>52503</v>
      </c>
      <c r="O327" s="20">
        <v>2645</v>
      </c>
      <c r="P327" s="20">
        <v>5155</v>
      </c>
      <c r="Q327" s="21" t="s">
        <v>1303</v>
      </c>
      <c r="R327" s="20" t="s">
        <v>1255</v>
      </c>
      <c r="S327" s="20" t="s">
        <v>1255</v>
      </c>
      <c r="T327" s="20" t="s">
        <v>392</v>
      </c>
      <c r="U327" s="28"/>
    </row>
    <row r="328" s="3" customFormat="1" ht="76" customHeight="1" spans="1:21">
      <c r="A328" s="20">
        <f t="shared" ref="A328:A337" si="39">ROW()-5</f>
        <v>323</v>
      </c>
      <c r="B328" s="20" t="s">
        <v>64</v>
      </c>
      <c r="C328" s="20" t="s">
        <v>65</v>
      </c>
      <c r="D328" s="20" t="s">
        <v>68</v>
      </c>
      <c r="E328" s="20" t="s">
        <v>1304</v>
      </c>
      <c r="F328" s="21" t="s">
        <v>1305</v>
      </c>
      <c r="G328" s="20" t="s">
        <v>370</v>
      </c>
      <c r="H328" s="20" t="s">
        <v>371</v>
      </c>
      <c r="I328" s="23">
        <f t="shared" si="38"/>
        <v>45</v>
      </c>
      <c r="J328" s="23">
        <v>45</v>
      </c>
      <c r="K328" s="20"/>
      <c r="L328" s="20" t="s">
        <v>145</v>
      </c>
      <c r="M328" s="20">
        <v>604</v>
      </c>
      <c r="N328" s="20">
        <v>1368</v>
      </c>
      <c r="O328" s="20">
        <v>52</v>
      </c>
      <c r="P328" s="20">
        <f>82+3</f>
        <v>85</v>
      </c>
      <c r="Q328" s="21" t="s">
        <v>1306</v>
      </c>
      <c r="R328" s="20" t="s">
        <v>373</v>
      </c>
      <c r="S328" s="20" t="s">
        <v>1255</v>
      </c>
      <c r="T328" s="20" t="s">
        <v>283</v>
      </c>
      <c r="U328" s="20"/>
    </row>
    <row r="329" s="3" customFormat="1" ht="100" customHeight="1" spans="1:21">
      <c r="A329" s="20">
        <f t="shared" si="39"/>
        <v>324</v>
      </c>
      <c r="B329" s="20" t="s">
        <v>64</v>
      </c>
      <c r="C329" s="20" t="s">
        <v>65</v>
      </c>
      <c r="D329" s="20" t="s">
        <v>68</v>
      </c>
      <c r="E329" s="20" t="s">
        <v>1307</v>
      </c>
      <c r="F329" s="21" t="s">
        <v>1308</v>
      </c>
      <c r="G329" s="20" t="s">
        <v>279</v>
      </c>
      <c r="H329" s="20" t="s">
        <v>845</v>
      </c>
      <c r="I329" s="23">
        <f t="shared" si="38"/>
        <v>38</v>
      </c>
      <c r="J329" s="23">
        <v>38</v>
      </c>
      <c r="K329" s="20"/>
      <c r="L329" s="20" t="s">
        <v>145</v>
      </c>
      <c r="M329" s="20">
        <v>101</v>
      </c>
      <c r="N329" s="20">
        <v>235</v>
      </c>
      <c r="O329" s="20">
        <v>5</v>
      </c>
      <c r="P329" s="20">
        <v>8</v>
      </c>
      <c r="Q329" s="21" t="s">
        <v>1309</v>
      </c>
      <c r="R329" s="20" t="s">
        <v>282</v>
      </c>
      <c r="S329" s="20" t="s">
        <v>1255</v>
      </c>
      <c r="T329" s="20" t="s">
        <v>1310</v>
      </c>
      <c r="U329" s="28"/>
    </row>
    <row r="330" s="3" customFormat="1" ht="100" customHeight="1" spans="1:21">
      <c r="A330" s="20">
        <f t="shared" si="39"/>
        <v>325</v>
      </c>
      <c r="B330" s="20" t="s">
        <v>64</v>
      </c>
      <c r="C330" s="20" t="s">
        <v>65</v>
      </c>
      <c r="D330" s="20" t="s">
        <v>68</v>
      </c>
      <c r="E330" s="20" t="s">
        <v>1311</v>
      </c>
      <c r="F330" s="21" t="s">
        <v>1312</v>
      </c>
      <c r="G330" s="20" t="s">
        <v>279</v>
      </c>
      <c r="H330" s="20" t="s">
        <v>1313</v>
      </c>
      <c r="I330" s="23">
        <f t="shared" si="38"/>
        <v>28</v>
      </c>
      <c r="J330" s="23">
        <v>28</v>
      </c>
      <c r="K330" s="20"/>
      <c r="L330" s="20" t="s">
        <v>145</v>
      </c>
      <c r="M330" s="20">
        <v>23</v>
      </c>
      <c r="N330" s="20">
        <v>61</v>
      </c>
      <c r="O330" s="20">
        <v>2</v>
      </c>
      <c r="P330" s="20">
        <v>2</v>
      </c>
      <c r="Q330" s="21" t="s">
        <v>1314</v>
      </c>
      <c r="R330" s="20" t="s">
        <v>282</v>
      </c>
      <c r="S330" s="20" t="s">
        <v>1255</v>
      </c>
      <c r="T330" s="20" t="s">
        <v>608</v>
      </c>
      <c r="U330" s="20"/>
    </row>
    <row r="331" s="3" customFormat="1" ht="95" customHeight="1" spans="1:21">
      <c r="A331" s="20">
        <f t="shared" si="39"/>
        <v>326</v>
      </c>
      <c r="B331" s="20" t="s">
        <v>64</v>
      </c>
      <c r="C331" s="20" t="s">
        <v>65</v>
      </c>
      <c r="D331" s="20" t="s">
        <v>68</v>
      </c>
      <c r="E331" s="20" t="s">
        <v>1315</v>
      </c>
      <c r="F331" s="21" t="s">
        <v>1316</v>
      </c>
      <c r="G331" s="20" t="s">
        <v>185</v>
      </c>
      <c r="H331" s="20" t="s">
        <v>812</v>
      </c>
      <c r="I331" s="23">
        <f t="shared" si="38"/>
        <v>79</v>
      </c>
      <c r="J331" s="23">
        <v>79</v>
      </c>
      <c r="K331" s="20"/>
      <c r="L331" s="20" t="s">
        <v>145</v>
      </c>
      <c r="M331" s="20">
        <v>113</v>
      </c>
      <c r="N331" s="28">
        <v>331</v>
      </c>
      <c r="O331" s="20">
        <v>12</v>
      </c>
      <c r="P331" s="28">
        <v>31</v>
      </c>
      <c r="Q331" s="21" t="s">
        <v>1317</v>
      </c>
      <c r="R331" s="20" t="s">
        <v>188</v>
      </c>
      <c r="S331" s="20" t="s">
        <v>1255</v>
      </c>
      <c r="T331" s="20" t="s">
        <v>189</v>
      </c>
      <c r="U331" s="28"/>
    </row>
    <row r="332" s="3" customFormat="1" ht="95" customHeight="1" spans="1:21">
      <c r="A332" s="20">
        <f t="shared" si="39"/>
        <v>327</v>
      </c>
      <c r="B332" s="20" t="s">
        <v>64</v>
      </c>
      <c r="C332" s="20" t="s">
        <v>65</v>
      </c>
      <c r="D332" s="20" t="s">
        <v>68</v>
      </c>
      <c r="E332" s="20" t="s">
        <v>1318</v>
      </c>
      <c r="F332" s="21" t="s">
        <v>1319</v>
      </c>
      <c r="G332" s="20" t="s">
        <v>185</v>
      </c>
      <c r="H332" s="20" t="s">
        <v>1320</v>
      </c>
      <c r="I332" s="23">
        <f t="shared" si="38"/>
        <v>50</v>
      </c>
      <c r="J332" s="23">
        <v>50</v>
      </c>
      <c r="K332" s="20"/>
      <c r="L332" s="20" t="s">
        <v>145</v>
      </c>
      <c r="M332" s="20">
        <v>180</v>
      </c>
      <c r="N332" s="28">
        <v>530</v>
      </c>
      <c r="O332" s="28">
        <v>21</v>
      </c>
      <c r="P332" s="28">
        <v>48</v>
      </c>
      <c r="Q332" s="25" t="s">
        <v>1321</v>
      </c>
      <c r="R332" s="20" t="s">
        <v>1255</v>
      </c>
      <c r="S332" s="20" t="s">
        <v>1255</v>
      </c>
      <c r="T332" s="20" t="s">
        <v>189</v>
      </c>
      <c r="U332" s="28"/>
    </row>
    <row r="333" s="3" customFormat="1" ht="95" customHeight="1" spans="1:21">
      <c r="A333" s="20">
        <f t="shared" si="39"/>
        <v>328</v>
      </c>
      <c r="B333" s="20" t="s">
        <v>64</v>
      </c>
      <c r="C333" s="35" t="s">
        <v>65</v>
      </c>
      <c r="D333" s="35" t="s">
        <v>68</v>
      </c>
      <c r="E333" s="20" t="s">
        <v>1322</v>
      </c>
      <c r="F333" s="21" t="s">
        <v>1323</v>
      </c>
      <c r="G333" s="20" t="s">
        <v>185</v>
      </c>
      <c r="H333" s="20" t="s">
        <v>1324</v>
      </c>
      <c r="I333" s="23">
        <f t="shared" si="38"/>
        <v>39</v>
      </c>
      <c r="J333" s="23">
        <v>39</v>
      </c>
      <c r="K333" s="20"/>
      <c r="L333" s="20" t="s">
        <v>145</v>
      </c>
      <c r="M333" s="20">
        <v>110</v>
      </c>
      <c r="N333" s="28">
        <v>434</v>
      </c>
      <c r="O333" s="28">
        <v>24</v>
      </c>
      <c r="P333" s="28">
        <v>47</v>
      </c>
      <c r="Q333" s="25" t="s">
        <v>1325</v>
      </c>
      <c r="R333" s="20" t="s">
        <v>188</v>
      </c>
      <c r="S333" s="20" t="s">
        <v>1255</v>
      </c>
      <c r="T333" s="20" t="s">
        <v>189</v>
      </c>
      <c r="U333" s="28"/>
    </row>
    <row r="334" s="3" customFormat="1" ht="95" customHeight="1" spans="1:21">
      <c r="A334" s="20">
        <f t="shared" si="39"/>
        <v>329</v>
      </c>
      <c r="B334" s="20" t="s">
        <v>64</v>
      </c>
      <c r="C334" s="20" t="s">
        <v>65</v>
      </c>
      <c r="D334" s="20" t="s">
        <v>68</v>
      </c>
      <c r="E334" s="20" t="s">
        <v>1326</v>
      </c>
      <c r="F334" s="21" t="s">
        <v>1327</v>
      </c>
      <c r="G334" s="20" t="s">
        <v>185</v>
      </c>
      <c r="H334" s="20" t="s">
        <v>290</v>
      </c>
      <c r="I334" s="23">
        <f t="shared" si="38"/>
        <v>35</v>
      </c>
      <c r="J334" s="29">
        <v>35</v>
      </c>
      <c r="K334" s="28"/>
      <c r="L334" s="20" t="s">
        <v>145</v>
      </c>
      <c r="M334" s="28">
        <v>106</v>
      </c>
      <c r="N334" s="28">
        <v>296</v>
      </c>
      <c r="O334" s="28">
        <v>7</v>
      </c>
      <c r="P334" s="28">
        <v>14</v>
      </c>
      <c r="Q334" s="21" t="s">
        <v>1328</v>
      </c>
      <c r="R334" s="20" t="s">
        <v>188</v>
      </c>
      <c r="S334" s="20" t="s">
        <v>1255</v>
      </c>
      <c r="T334" s="20" t="s">
        <v>189</v>
      </c>
      <c r="U334" s="28"/>
    </row>
    <row r="335" s="3" customFormat="1" ht="89" customHeight="1" spans="1:21">
      <c r="A335" s="20">
        <f t="shared" si="39"/>
        <v>330</v>
      </c>
      <c r="B335" s="20" t="s">
        <v>64</v>
      </c>
      <c r="C335" s="20" t="s">
        <v>65</v>
      </c>
      <c r="D335" s="20" t="s">
        <v>68</v>
      </c>
      <c r="E335" s="20" t="s">
        <v>1329</v>
      </c>
      <c r="F335" s="21" t="s">
        <v>1330</v>
      </c>
      <c r="G335" s="20" t="s">
        <v>185</v>
      </c>
      <c r="H335" s="20" t="s">
        <v>514</v>
      </c>
      <c r="I335" s="23">
        <f t="shared" si="38"/>
        <v>20</v>
      </c>
      <c r="J335" s="29">
        <v>20</v>
      </c>
      <c r="K335" s="28"/>
      <c r="L335" s="20" t="s">
        <v>145</v>
      </c>
      <c r="M335" s="28">
        <v>87</v>
      </c>
      <c r="N335" s="28">
        <v>223</v>
      </c>
      <c r="O335" s="28">
        <v>0</v>
      </c>
      <c r="P335" s="28">
        <v>0</v>
      </c>
      <c r="Q335" s="21" t="s">
        <v>1331</v>
      </c>
      <c r="R335" s="20" t="s">
        <v>188</v>
      </c>
      <c r="S335" s="20" t="s">
        <v>1255</v>
      </c>
      <c r="T335" s="20" t="s">
        <v>189</v>
      </c>
      <c r="U335" s="28"/>
    </row>
    <row r="336" s="4" customFormat="1" ht="114" customHeight="1" spans="1:21">
      <c r="A336" s="20">
        <f t="shared" si="39"/>
        <v>331</v>
      </c>
      <c r="B336" s="20" t="s">
        <v>64</v>
      </c>
      <c r="C336" s="20" t="s">
        <v>65</v>
      </c>
      <c r="D336" s="20" t="s">
        <v>68</v>
      </c>
      <c r="E336" s="20" t="s">
        <v>1332</v>
      </c>
      <c r="F336" s="21" t="s">
        <v>1333</v>
      </c>
      <c r="G336" s="20" t="s">
        <v>164</v>
      </c>
      <c r="H336" s="20" t="s">
        <v>339</v>
      </c>
      <c r="I336" s="23">
        <f t="shared" si="38"/>
        <v>54.16</v>
      </c>
      <c r="J336" s="29">
        <v>54.16</v>
      </c>
      <c r="K336" s="28"/>
      <c r="L336" s="28" t="s">
        <v>145</v>
      </c>
      <c r="M336" s="28">
        <v>91</v>
      </c>
      <c r="N336" s="28">
        <v>223</v>
      </c>
      <c r="O336" s="28">
        <v>4</v>
      </c>
      <c r="P336" s="28">
        <v>14</v>
      </c>
      <c r="Q336" s="21" t="s">
        <v>1334</v>
      </c>
      <c r="R336" s="20" t="s">
        <v>1255</v>
      </c>
      <c r="S336" s="20" t="s">
        <v>1255</v>
      </c>
      <c r="T336" s="20" t="s">
        <v>347</v>
      </c>
      <c r="U336" s="20"/>
    </row>
    <row r="337" ht="104.4" spans="1:21">
      <c r="A337" s="20">
        <f t="shared" si="39"/>
        <v>332</v>
      </c>
      <c r="B337" s="33" t="s">
        <v>64</v>
      </c>
      <c r="C337" s="33" t="s">
        <v>65</v>
      </c>
      <c r="D337" s="33" t="s">
        <v>68</v>
      </c>
      <c r="E337" s="33" t="s">
        <v>1335</v>
      </c>
      <c r="F337" s="34" t="s">
        <v>1336</v>
      </c>
      <c r="G337" s="33" t="s">
        <v>279</v>
      </c>
      <c r="H337" s="33" t="s">
        <v>1025</v>
      </c>
      <c r="I337" s="23">
        <f t="shared" si="38"/>
        <v>71</v>
      </c>
      <c r="J337" s="36">
        <v>71</v>
      </c>
      <c r="K337" s="33"/>
      <c r="L337" s="33" t="s">
        <v>145</v>
      </c>
      <c r="M337" s="33">
        <v>155</v>
      </c>
      <c r="N337" s="33">
        <v>391</v>
      </c>
      <c r="O337" s="33">
        <v>4</v>
      </c>
      <c r="P337" s="33">
        <v>4</v>
      </c>
      <c r="Q337" s="33" t="s">
        <v>1337</v>
      </c>
      <c r="R337" s="20" t="s">
        <v>282</v>
      </c>
      <c r="S337" s="33" t="s">
        <v>1255</v>
      </c>
      <c r="T337" s="20" t="s">
        <v>546</v>
      </c>
      <c r="U337" s="20"/>
    </row>
    <row r="338" ht="104.4" spans="1:21">
      <c r="A338" s="20">
        <f t="shared" ref="A338:A347" si="40">ROW()-5</f>
        <v>333</v>
      </c>
      <c r="B338" s="20" t="s">
        <v>64</v>
      </c>
      <c r="C338" s="20" t="s">
        <v>65</v>
      </c>
      <c r="D338" s="20" t="s">
        <v>68</v>
      </c>
      <c r="E338" s="20" t="s">
        <v>1338</v>
      </c>
      <c r="F338" s="21" t="s">
        <v>1339</v>
      </c>
      <c r="G338" s="20" t="s">
        <v>178</v>
      </c>
      <c r="H338" s="20" t="s">
        <v>437</v>
      </c>
      <c r="I338" s="23">
        <f t="shared" si="38"/>
        <v>34.81</v>
      </c>
      <c r="J338" s="23">
        <v>34.81</v>
      </c>
      <c r="K338" s="20"/>
      <c r="L338" s="20" t="s">
        <v>145</v>
      </c>
      <c r="M338" s="20">
        <v>56</v>
      </c>
      <c r="N338" s="20">
        <v>149</v>
      </c>
      <c r="O338" s="20">
        <v>2</v>
      </c>
      <c r="P338" s="20">
        <v>7</v>
      </c>
      <c r="Q338" s="21" t="s">
        <v>1340</v>
      </c>
      <c r="R338" s="20" t="s">
        <v>1255</v>
      </c>
      <c r="S338" s="20" t="s">
        <v>1255</v>
      </c>
      <c r="T338" s="20" t="s">
        <v>1341</v>
      </c>
      <c r="U338" s="20"/>
    </row>
    <row r="339" ht="104.4" spans="1:21">
      <c r="A339" s="20">
        <f t="shared" si="40"/>
        <v>334</v>
      </c>
      <c r="B339" s="20" t="s">
        <v>64</v>
      </c>
      <c r="C339" s="20" t="s">
        <v>65</v>
      </c>
      <c r="D339" s="20" t="s">
        <v>68</v>
      </c>
      <c r="E339" s="20" t="s">
        <v>1342</v>
      </c>
      <c r="F339" s="21" t="s">
        <v>1343</v>
      </c>
      <c r="G339" s="20" t="s">
        <v>178</v>
      </c>
      <c r="H339" s="20" t="s">
        <v>1344</v>
      </c>
      <c r="I339" s="23">
        <f t="shared" si="38"/>
        <v>33.25</v>
      </c>
      <c r="J339" s="23">
        <v>33.25</v>
      </c>
      <c r="K339" s="20"/>
      <c r="L339" s="20" t="s">
        <v>145</v>
      </c>
      <c r="M339" s="20">
        <v>62</v>
      </c>
      <c r="N339" s="20">
        <v>198</v>
      </c>
      <c r="O339" s="20">
        <v>8</v>
      </c>
      <c r="P339" s="20">
        <v>18</v>
      </c>
      <c r="Q339" s="21" t="s">
        <v>1345</v>
      </c>
      <c r="R339" s="20" t="s">
        <v>1255</v>
      </c>
      <c r="S339" s="20" t="s">
        <v>1255</v>
      </c>
      <c r="T339" s="20" t="s">
        <v>1341</v>
      </c>
      <c r="U339" s="20"/>
    </row>
    <row r="340" ht="104.4" spans="1:21">
      <c r="A340" s="20">
        <f t="shared" si="40"/>
        <v>335</v>
      </c>
      <c r="B340" s="20" t="s">
        <v>64</v>
      </c>
      <c r="C340" s="20" t="s">
        <v>65</v>
      </c>
      <c r="D340" s="20" t="s">
        <v>68</v>
      </c>
      <c r="E340" s="20" t="s">
        <v>1346</v>
      </c>
      <c r="F340" s="21" t="s">
        <v>1347</v>
      </c>
      <c r="G340" s="20" t="s">
        <v>178</v>
      </c>
      <c r="H340" s="20" t="s">
        <v>1344</v>
      </c>
      <c r="I340" s="23">
        <f t="shared" si="38"/>
        <v>32.6</v>
      </c>
      <c r="J340" s="23">
        <v>32.6</v>
      </c>
      <c r="K340" s="20"/>
      <c r="L340" s="20" t="s">
        <v>145</v>
      </c>
      <c r="M340" s="20">
        <v>31</v>
      </c>
      <c r="N340" s="20">
        <v>85</v>
      </c>
      <c r="O340" s="20">
        <v>3</v>
      </c>
      <c r="P340" s="20">
        <v>6</v>
      </c>
      <c r="Q340" s="21" t="s">
        <v>1348</v>
      </c>
      <c r="R340" s="20" t="s">
        <v>1255</v>
      </c>
      <c r="S340" s="20" t="s">
        <v>1255</v>
      </c>
      <c r="T340" s="20" t="s">
        <v>1341</v>
      </c>
      <c r="U340" s="20"/>
    </row>
    <row r="341" ht="104.4" spans="1:21">
      <c r="A341" s="20">
        <f t="shared" si="40"/>
        <v>336</v>
      </c>
      <c r="B341" s="20" t="s">
        <v>64</v>
      </c>
      <c r="C341" s="20" t="s">
        <v>65</v>
      </c>
      <c r="D341" s="20" t="s">
        <v>68</v>
      </c>
      <c r="E341" s="20" t="s">
        <v>1349</v>
      </c>
      <c r="F341" s="21" t="s">
        <v>1350</v>
      </c>
      <c r="G341" s="20" t="s">
        <v>178</v>
      </c>
      <c r="H341" s="20" t="s">
        <v>433</v>
      </c>
      <c r="I341" s="23">
        <f t="shared" si="38"/>
        <v>47.15</v>
      </c>
      <c r="J341" s="23">
        <v>47.15</v>
      </c>
      <c r="K341" s="20"/>
      <c r="L341" s="20" t="s">
        <v>145</v>
      </c>
      <c r="M341" s="20">
        <v>62</v>
      </c>
      <c r="N341" s="20">
        <v>166</v>
      </c>
      <c r="O341" s="20">
        <v>3</v>
      </c>
      <c r="P341" s="20">
        <v>4</v>
      </c>
      <c r="Q341" s="21" t="s">
        <v>1351</v>
      </c>
      <c r="R341" s="20" t="s">
        <v>1255</v>
      </c>
      <c r="S341" s="20" t="s">
        <v>1255</v>
      </c>
      <c r="T341" s="20" t="s">
        <v>1341</v>
      </c>
      <c r="U341" s="20"/>
    </row>
    <row r="342" ht="111" customHeight="1" spans="1:21">
      <c r="A342" s="20">
        <f t="shared" si="40"/>
        <v>337</v>
      </c>
      <c r="B342" s="20" t="s">
        <v>64</v>
      </c>
      <c r="C342" s="20" t="s">
        <v>65</v>
      </c>
      <c r="D342" s="20" t="s">
        <v>68</v>
      </c>
      <c r="E342" s="20" t="s">
        <v>1352</v>
      </c>
      <c r="F342" s="21" t="s">
        <v>1353</v>
      </c>
      <c r="G342" s="20" t="s">
        <v>152</v>
      </c>
      <c r="H342" s="20" t="s">
        <v>307</v>
      </c>
      <c r="I342" s="23">
        <f t="shared" si="38"/>
        <v>44.71</v>
      </c>
      <c r="J342" s="23">
        <v>44.71</v>
      </c>
      <c r="K342" s="20"/>
      <c r="L342" s="20" t="s">
        <v>145</v>
      </c>
      <c r="M342" s="20">
        <v>33</v>
      </c>
      <c r="N342" s="20">
        <v>104</v>
      </c>
      <c r="O342" s="20">
        <v>1</v>
      </c>
      <c r="P342" s="20">
        <v>2</v>
      </c>
      <c r="Q342" s="20" t="s">
        <v>1354</v>
      </c>
      <c r="R342" s="20" t="s">
        <v>1255</v>
      </c>
      <c r="S342" s="20" t="s">
        <v>1255</v>
      </c>
      <c r="T342" s="20" t="s">
        <v>156</v>
      </c>
      <c r="U342" s="20"/>
    </row>
    <row r="343" ht="104.4" spans="1:21">
      <c r="A343" s="20">
        <f t="shared" si="40"/>
        <v>338</v>
      </c>
      <c r="B343" s="20" t="s">
        <v>64</v>
      </c>
      <c r="C343" s="20" t="s">
        <v>65</v>
      </c>
      <c r="D343" s="20" t="s">
        <v>68</v>
      </c>
      <c r="E343" s="20" t="s">
        <v>1355</v>
      </c>
      <c r="F343" s="21" t="s">
        <v>1356</v>
      </c>
      <c r="G343" s="20" t="s">
        <v>185</v>
      </c>
      <c r="H343" s="20" t="s">
        <v>1357</v>
      </c>
      <c r="I343" s="23">
        <f t="shared" si="38"/>
        <v>15.71</v>
      </c>
      <c r="J343" s="23">
        <v>15.71</v>
      </c>
      <c r="K343" s="20"/>
      <c r="L343" s="20" t="s">
        <v>145</v>
      </c>
      <c r="M343" s="20">
        <v>44</v>
      </c>
      <c r="N343" s="20">
        <v>128</v>
      </c>
      <c r="O343" s="20">
        <v>2</v>
      </c>
      <c r="P343" s="20">
        <v>3</v>
      </c>
      <c r="Q343" s="20" t="s">
        <v>1358</v>
      </c>
      <c r="R343" s="20" t="s">
        <v>1255</v>
      </c>
      <c r="S343" s="20" t="s">
        <v>1255</v>
      </c>
      <c r="T343" s="20" t="s">
        <v>387</v>
      </c>
      <c r="U343" s="20"/>
    </row>
    <row r="344" ht="104.4" spans="1:21">
      <c r="A344" s="20">
        <f t="shared" si="40"/>
        <v>339</v>
      </c>
      <c r="B344" s="20" t="s">
        <v>64</v>
      </c>
      <c r="C344" s="20" t="s">
        <v>65</v>
      </c>
      <c r="D344" s="20" t="s">
        <v>68</v>
      </c>
      <c r="E344" s="20" t="s">
        <v>1359</v>
      </c>
      <c r="F344" s="21" t="s">
        <v>1360</v>
      </c>
      <c r="G344" s="20" t="s">
        <v>343</v>
      </c>
      <c r="H344" s="20" t="s">
        <v>344</v>
      </c>
      <c r="I344" s="23">
        <f t="shared" si="38"/>
        <v>70.2</v>
      </c>
      <c r="J344" s="29">
        <v>70.2</v>
      </c>
      <c r="K344" s="28"/>
      <c r="L344" s="20" t="s">
        <v>145</v>
      </c>
      <c r="M344" s="28">
        <v>78</v>
      </c>
      <c r="N344" s="28">
        <v>214</v>
      </c>
      <c r="O344" s="28">
        <v>3</v>
      </c>
      <c r="P344" s="28">
        <v>8</v>
      </c>
      <c r="Q344" s="21" t="s">
        <v>1361</v>
      </c>
      <c r="R344" s="20" t="s">
        <v>1255</v>
      </c>
      <c r="S344" s="20" t="s">
        <v>1255</v>
      </c>
      <c r="T344" s="20" t="s">
        <v>1056</v>
      </c>
      <c r="U344" s="20"/>
    </row>
    <row r="345" ht="104.4" spans="1:21">
      <c r="A345" s="20">
        <f t="shared" si="40"/>
        <v>340</v>
      </c>
      <c r="B345" s="20" t="s">
        <v>64</v>
      </c>
      <c r="C345" s="22" t="s">
        <v>65</v>
      </c>
      <c r="D345" s="20" t="s">
        <v>68</v>
      </c>
      <c r="E345" s="20" t="s">
        <v>1362</v>
      </c>
      <c r="F345" s="21" t="s">
        <v>1363</v>
      </c>
      <c r="G345" s="20" t="s">
        <v>152</v>
      </c>
      <c r="H345" s="20" t="s">
        <v>318</v>
      </c>
      <c r="I345" s="23">
        <f t="shared" si="38"/>
        <v>21.52</v>
      </c>
      <c r="J345" s="23">
        <v>21.52</v>
      </c>
      <c r="K345" s="20"/>
      <c r="L345" s="20" t="s">
        <v>145</v>
      </c>
      <c r="M345" s="20">
        <v>43</v>
      </c>
      <c r="N345" s="20">
        <v>138</v>
      </c>
      <c r="O345" s="20">
        <v>0</v>
      </c>
      <c r="P345" s="20">
        <v>0</v>
      </c>
      <c r="Q345" s="21" t="s">
        <v>1364</v>
      </c>
      <c r="R345" s="20" t="s">
        <v>1255</v>
      </c>
      <c r="S345" s="20" t="s">
        <v>1255</v>
      </c>
      <c r="T345" s="20" t="s">
        <v>320</v>
      </c>
      <c r="U345" s="20"/>
    </row>
    <row r="346" ht="104.4" spans="1:21">
      <c r="A346" s="20">
        <f t="shared" si="40"/>
        <v>341</v>
      </c>
      <c r="B346" s="20" t="s">
        <v>64</v>
      </c>
      <c r="C346" s="22" t="s">
        <v>65</v>
      </c>
      <c r="D346" s="20" t="s">
        <v>68</v>
      </c>
      <c r="E346" s="20" t="s">
        <v>1365</v>
      </c>
      <c r="F346" s="21" t="s">
        <v>1366</v>
      </c>
      <c r="G346" s="20" t="s">
        <v>152</v>
      </c>
      <c r="H346" s="20" t="s">
        <v>1367</v>
      </c>
      <c r="I346" s="23">
        <f t="shared" si="38"/>
        <v>29.47</v>
      </c>
      <c r="J346" s="23">
        <v>29.47</v>
      </c>
      <c r="K346" s="20"/>
      <c r="L346" s="20" t="s">
        <v>145</v>
      </c>
      <c r="M346" s="20">
        <v>51</v>
      </c>
      <c r="N346" s="20">
        <v>159</v>
      </c>
      <c r="O346" s="20">
        <v>1</v>
      </c>
      <c r="P346" s="20">
        <v>3</v>
      </c>
      <c r="Q346" s="21" t="s">
        <v>1368</v>
      </c>
      <c r="R346" s="20" t="s">
        <v>1255</v>
      </c>
      <c r="S346" s="20" t="s">
        <v>1255</v>
      </c>
      <c r="T346" s="20" t="s">
        <v>325</v>
      </c>
      <c r="U346" s="20"/>
    </row>
    <row r="347" ht="104.4" spans="1:21">
      <c r="A347" s="20">
        <f t="shared" si="40"/>
        <v>342</v>
      </c>
      <c r="B347" s="20" t="s">
        <v>64</v>
      </c>
      <c r="C347" s="22" t="s">
        <v>65</v>
      </c>
      <c r="D347" s="20" t="s">
        <v>68</v>
      </c>
      <c r="E347" s="20" t="s">
        <v>1369</v>
      </c>
      <c r="F347" s="21" t="s">
        <v>1370</v>
      </c>
      <c r="G347" s="20" t="s">
        <v>152</v>
      </c>
      <c r="H347" s="20" t="s">
        <v>576</v>
      </c>
      <c r="I347" s="23">
        <f t="shared" si="38"/>
        <v>36</v>
      </c>
      <c r="J347" s="23">
        <v>36</v>
      </c>
      <c r="K347" s="20"/>
      <c r="L347" s="20" t="s">
        <v>145</v>
      </c>
      <c r="M347" s="20">
        <v>104</v>
      </c>
      <c r="N347" s="20">
        <v>304</v>
      </c>
      <c r="O347" s="20">
        <v>6</v>
      </c>
      <c r="P347" s="20">
        <v>16</v>
      </c>
      <c r="Q347" s="21" t="s">
        <v>1371</v>
      </c>
      <c r="R347" s="20" t="s">
        <v>155</v>
      </c>
      <c r="S347" s="20" t="s">
        <v>1255</v>
      </c>
      <c r="T347" s="20" t="s">
        <v>156</v>
      </c>
      <c r="U347" s="20"/>
    </row>
    <row r="348" ht="409" customHeight="1" spans="1:21">
      <c r="A348" s="20">
        <f t="shared" ref="A348:A357" si="41">ROW()-5</f>
        <v>343</v>
      </c>
      <c r="B348" s="20" t="s">
        <v>64</v>
      </c>
      <c r="C348" s="22" t="s">
        <v>65</v>
      </c>
      <c r="D348" s="20" t="s">
        <v>68</v>
      </c>
      <c r="E348" s="20" t="s">
        <v>1372</v>
      </c>
      <c r="F348" s="21" t="s">
        <v>1373</v>
      </c>
      <c r="G348" s="20" t="s">
        <v>143</v>
      </c>
      <c r="H348" s="20" t="s">
        <v>1374</v>
      </c>
      <c r="I348" s="23">
        <f t="shared" si="38"/>
        <v>458.65</v>
      </c>
      <c r="J348" s="23">
        <v>458.65</v>
      </c>
      <c r="K348" s="20"/>
      <c r="L348" s="20" t="s">
        <v>145</v>
      </c>
      <c r="M348" s="20">
        <v>364</v>
      </c>
      <c r="N348" s="20">
        <v>1307</v>
      </c>
      <c r="O348" s="20">
        <v>5</v>
      </c>
      <c r="P348" s="20">
        <v>6</v>
      </c>
      <c r="Q348" s="21" t="s">
        <v>1375</v>
      </c>
      <c r="R348" s="20" t="s">
        <v>147</v>
      </c>
      <c r="S348" s="20" t="s">
        <v>1255</v>
      </c>
      <c r="T348" s="20" t="s">
        <v>382</v>
      </c>
      <c r="U348" s="20"/>
    </row>
    <row r="349" ht="199" customHeight="1" spans="1:21">
      <c r="A349" s="20">
        <f t="shared" si="41"/>
        <v>344</v>
      </c>
      <c r="B349" s="33" t="s">
        <v>64</v>
      </c>
      <c r="C349" s="33" t="s">
        <v>65</v>
      </c>
      <c r="D349" s="33" t="s">
        <v>68</v>
      </c>
      <c r="E349" s="20" t="s">
        <v>1376</v>
      </c>
      <c r="F349" s="21" t="s">
        <v>1377</v>
      </c>
      <c r="G349" s="20" t="s">
        <v>143</v>
      </c>
      <c r="H349" s="22" t="s">
        <v>671</v>
      </c>
      <c r="I349" s="23">
        <f t="shared" si="38"/>
        <v>41.19</v>
      </c>
      <c r="J349" s="23">
        <v>41.19</v>
      </c>
      <c r="K349" s="20"/>
      <c r="L349" s="20" t="s">
        <v>145</v>
      </c>
      <c r="M349" s="20">
        <v>170</v>
      </c>
      <c r="N349" s="20">
        <v>601</v>
      </c>
      <c r="O349" s="20">
        <v>1</v>
      </c>
      <c r="P349" s="20">
        <v>3</v>
      </c>
      <c r="Q349" s="21" t="s">
        <v>1378</v>
      </c>
      <c r="R349" s="20" t="s">
        <v>1255</v>
      </c>
      <c r="S349" s="20" t="s">
        <v>1255</v>
      </c>
      <c r="T349" s="20" t="s">
        <v>382</v>
      </c>
      <c r="U349" s="20"/>
    </row>
    <row r="350" ht="104.4" spans="1:21">
      <c r="A350" s="20">
        <f t="shared" si="41"/>
        <v>345</v>
      </c>
      <c r="B350" s="20" t="s">
        <v>64</v>
      </c>
      <c r="C350" s="20" t="s">
        <v>65</v>
      </c>
      <c r="D350" s="20" t="s">
        <v>68</v>
      </c>
      <c r="E350" s="20" t="s">
        <v>1379</v>
      </c>
      <c r="F350" s="21" t="s">
        <v>1380</v>
      </c>
      <c r="G350" s="20" t="s">
        <v>370</v>
      </c>
      <c r="H350" s="20" t="s">
        <v>479</v>
      </c>
      <c r="I350" s="23">
        <f t="shared" si="38"/>
        <v>80</v>
      </c>
      <c r="J350" s="23">
        <v>80</v>
      </c>
      <c r="K350" s="20"/>
      <c r="L350" s="20" t="s">
        <v>145</v>
      </c>
      <c r="M350" s="20">
        <v>56</v>
      </c>
      <c r="N350" s="20">
        <v>110</v>
      </c>
      <c r="O350" s="20">
        <v>34</v>
      </c>
      <c r="P350" s="20">
        <v>56</v>
      </c>
      <c r="Q350" s="21" t="s">
        <v>1381</v>
      </c>
      <c r="R350" s="20" t="s">
        <v>373</v>
      </c>
      <c r="S350" s="20" t="s">
        <v>1255</v>
      </c>
      <c r="T350" s="20" t="s">
        <v>451</v>
      </c>
      <c r="U350" s="20"/>
    </row>
    <row r="351" ht="104.4" spans="1:21">
      <c r="A351" s="20">
        <f t="shared" si="41"/>
        <v>346</v>
      </c>
      <c r="B351" s="20" t="s">
        <v>64</v>
      </c>
      <c r="C351" s="20" t="s">
        <v>65</v>
      </c>
      <c r="D351" s="20" t="s">
        <v>68</v>
      </c>
      <c r="E351" s="20" t="s">
        <v>1382</v>
      </c>
      <c r="F351" s="21" t="s">
        <v>1383</v>
      </c>
      <c r="G351" s="20" t="s">
        <v>370</v>
      </c>
      <c r="H351" s="20" t="s">
        <v>475</v>
      </c>
      <c r="I351" s="23">
        <f t="shared" si="38"/>
        <v>37.45</v>
      </c>
      <c r="J351" s="23">
        <v>37.45</v>
      </c>
      <c r="K351" s="20">
        <v>0</v>
      </c>
      <c r="L351" s="20" t="s">
        <v>145</v>
      </c>
      <c r="M351" s="20">
        <v>30</v>
      </c>
      <c r="N351" s="22">
        <v>101</v>
      </c>
      <c r="O351" s="20">
        <v>2</v>
      </c>
      <c r="P351" s="20">
        <v>3</v>
      </c>
      <c r="Q351" s="21" t="s">
        <v>1384</v>
      </c>
      <c r="R351" s="20" t="s">
        <v>1255</v>
      </c>
      <c r="S351" s="20" t="s">
        <v>1255</v>
      </c>
      <c r="T351" s="20" t="s">
        <v>1056</v>
      </c>
      <c r="U351" s="20"/>
    </row>
    <row r="352" ht="104.4" spans="1:21">
      <c r="A352" s="20">
        <f t="shared" si="41"/>
        <v>347</v>
      </c>
      <c r="B352" s="20" t="s">
        <v>64</v>
      </c>
      <c r="C352" s="20" t="s">
        <v>65</v>
      </c>
      <c r="D352" s="20" t="s">
        <v>68</v>
      </c>
      <c r="E352" s="20" t="s">
        <v>1385</v>
      </c>
      <c r="F352" s="21" t="s">
        <v>1386</v>
      </c>
      <c r="G352" s="20" t="s">
        <v>370</v>
      </c>
      <c r="H352" s="20" t="s">
        <v>475</v>
      </c>
      <c r="I352" s="23">
        <f t="shared" si="38"/>
        <v>28.57</v>
      </c>
      <c r="J352" s="23">
        <v>28.57</v>
      </c>
      <c r="K352" s="20">
        <v>0</v>
      </c>
      <c r="L352" s="20" t="s">
        <v>145</v>
      </c>
      <c r="M352" s="20">
        <v>55</v>
      </c>
      <c r="N352" s="22">
        <v>87</v>
      </c>
      <c r="O352" s="20">
        <v>2</v>
      </c>
      <c r="P352" s="20">
        <v>7</v>
      </c>
      <c r="Q352" s="21" t="s">
        <v>1387</v>
      </c>
      <c r="R352" s="20" t="s">
        <v>1255</v>
      </c>
      <c r="S352" s="20" t="s">
        <v>1255</v>
      </c>
      <c r="T352" s="20" t="s">
        <v>1056</v>
      </c>
      <c r="U352" s="20"/>
    </row>
    <row r="353" ht="104.4" spans="1:21">
      <c r="A353" s="20">
        <f t="shared" si="41"/>
        <v>348</v>
      </c>
      <c r="B353" s="20" t="s">
        <v>64</v>
      </c>
      <c r="C353" s="20" t="s">
        <v>65</v>
      </c>
      <c r="D353" s="20" t="s">
        <v>68</v>
      </c>
      <c r="E353" s="20" t="s">
        <v>1388</v>
      </c>
      <c r="F353" s="21" t="s">
        <v>1389</v>
      </c>
      <c r="G353" s="20" t="s">
        <v>370</v>
      </c>
      <c r="H353" s="20" t="s">
        <v>552</v>
      </c>
      <c r="I353" s="23">
        <f t="shared" si="38"/>
        <v>24.17</v>
      </c>
      <c r="J353" s="23">
        <v>24.17</v>
      </c>
      <c r="K353" s="20"/>
      <c r="L353" s="20" t="s">
        <v>145</v>
      </c>
      <c r="M353" s="20">
        <v>33</v>
      </c>
      <c r="N353" s="20">
        <v>80</v>
      </c>
      <c r="O353" s="20">
        <v>2</v>
      </c>
      <c r="P353" s="20">
        <v>2</v>
      </c>
      <c r="Q353" s="21" t="s">
        <v>1390</v>
      </c>
      <c r="R353" s="20" t="s">
        <v>1255</v>
      </c>
      <c r="S353" s="20" t="s">
        <v>1255</v>
      </c>
      <c r="T353" s="20" t="s">
        <v>451</v>
      </c>
      <c r="U353" s="20"/>
    </row>
    <row r="354" ht="104.4" spans="1:21">
      <c r="A354" s="20">
        <f t="shared" si="41"/>
        <v>349</v>
      </c>
      <c r="B354" s="20" t="s">
        <v>64</v>
      </c>
      <c r="C354" s="22" t="s">
        <v>65</v>
      </c>
      <c r="D354" s="20" t="s">
        <v>68</v>
      </c>
      <c r="E354" s="20" t="s">
        <v>1391</v>
      </c>
      <c r="F354" s="21" t="s">
        <v>1392</v>
      </c>
      <c r="G354" s="20" t="s">
        <v>556</v>
      </c>
      <c r="H354" s="20" t="s">
        <v>1393</v>
      </c>
      <c r="I354" s="23">
        <f t="shared" si="38"/>
        <v>52.52</v>
      </c>
      <c r="J354" s="23">
        <v>52.52</v>
      </c>
      <c r="K354" s="20"/>
      <c r="L354" s="20" t="s">
        <v>145</v>
      </c>
      <c r="M354" s="20">
        <v>83</v>
      </c>
      <c r="N354" s="20">
        <v>252</v>
      </c>
      <c r="O354" s="20">
        <v>4</v>
      </c>
      <c r="P354" s="20">
        <v>16</v>
      </c>
      <c r="Q354" s="21" t="s">
        <v>1394</v>
      </c>
      <c r="R354" s="20" t="s">
        <v>1255</v>
      </c>
      <c r="S354" s="20" t="s">
        <v>1255</v>
      </c>
      <c r="T354" s="20" t="s">
        <v>1101</v>
      </c>
      <c r="U354" s="20"/>
    </row>
    <row r="355" ht="104.4" spans="1:21">
      <c r="A355" s="20">
        <f t="shared" si="41"/>
        <v>350</v>
      </c>
      <c r="B355" s="20" t="s">
        <v>64</v>
      </c>
      <c r="C355" s="22" t="s">
        <v>65</v>
      </c>
      <c r="D355" s="20" t="s">
        <v>68</v>
      </c>
      <c r="E355" s="20" t="s">
        <v>1395</v>
      </c>
      <c r="F355" s="21" t="s">
        <v>1396</v>
      </c>
      <c r="G355" s="20" t="s">
        <v>556</v>
      </c>
      <c r="H355" s="20" t="s">
        <v>1393</v>
      </c>
      <c r="I355" s="23">
        <f t="shared" si="38"/>
        <v>29.2</v>
      </c>
      <c r="J355" s="23">
        <v>29.2</v>
      </c>
      <c r="K355" s="20"/>
      <c r="L355" s="20" t="s">
        <v>145</v>
      </c>
      <c r="M355" s="20">
        <v>42</v>
      </c>
      <c r="N355" s="20">
        <v>112</v>
      </c>
      <c r="O355" s="20">
        <v>0</v>
      </c>
      <c r="P355" s="20">
        <v>0</v>
      </c>
      <c r="Q355" s="21" t="s">
        <v>1397</v>
      </c>
      <c r="R355" s="20" t="s">
        <v>1255</v>
      </c>
      <c r="S355" s="20" t="s">
        <v>1255</v>
      </c>
      <c r="T355" s="20" t="s">
        <v>1101</v>
      </c>
      <c r="U355" s="20"/>
    </row>
    <row r="356" ht="104.4" spans="1:21">
      <c r="A356" s="20">
        <f t="shared" si="41"/>
        <v>351</v>
      </c>
      <c r="B356" s="33" t="s">
        <v>64</v>
      </c>
      <c r="C356" s="33" t="s">
        <v>65</v>
      </c>
      <c r="D356" s="33" t="s">
        <v>68</v>
      </c>
      <c r="E356" s="20" t="s">
        <v>1398</v>
      </c>
      <c r="F356" s="34" t="s">
        <v>1399</v>
      </c>
      <c r="G356" s="33" t="s">
        <v>279</v>
      </c>
      <c r="H356" s="33" t="s">
        <v>518</v>
      </c>
      <c r="I356" s="23">
        <f t="shared" si="38"/>
        <v>36</v>
      </c>
      <c r="J356" s="36">
        <v>36</v>
      </c>
      <c r="K356" s="33"/>
      <c r="L356" s="33" t="s">
        <v>145</v>
      </c>
      <c r="M356" s="20">
        <v>287</v>
      </c>
      <c r="N356" s="20">
        <v>936</v>
      </c>
      <c r="O356" s="20">
        <v>17</v>
      </c>
      <c r="P356" s="20">
        <v>46</v>
      </c>
      <c r="Q356" s="21" t="s">
        <v>1400</v>
      </c>
      <c r="R356" s="33" t="s">
        <v>1255</v>
      </c>
      <c r="S356" s="33" t="s">
        <v>1255</v>
      </c>
      <c r="T356" s="20" t="s">
        <v>668</v>
      </c>
      <c r="U356" s="20"/>
    </row>
    <row r="357" ht="104.4" spans="1:21">
      <c r="A357" s="20">
        <f t="shared" si="41"/>
        <v>352</v>
      </c>
      <c r="B357" s="33" t="s">
        <v>64</v>
      </c>
      <c r="C357" s="33" t="s">
        <v>65</v>
      </c>
      <c r="D357" s="33" t="s">
        <v>68</v>
      </c>
      <c r="E357" s="33" t="s">
        <v>1401</v>
      </c>
      <c r="F357" s="34" t="s">
        <v>1402</v>
      </c>
      <c r="G357" s="33" t="s">
        <v>279</v>
      </c>
      <c r="H357" s="33" t="s">
        <v>1029</v>
      </c>
      <c r="I357" s="23">
        <f t="shared" si="38"/>
        <v>40</v>
      </c>
      <c r="J357" s="36">
        <v>40</v>
      </c>
      <c r="K357" s="33"/>
      <c r="L357" s="33" t="s">
        <v>145</v>
      </c>
      <c r="M357" s="33">
        <v>396</v>
      </c>
      <c r="N357" s="33">
        <v>736</v>
      </c>
      <c r="O357" s="33">
        <v>17</v>
      </c>
      <c r="P357" s="33">
        <v>42</v>
      </c>
      <c r="Q357" s="34" t="s">
        <v>1403</v>
      </c>
      <c r="R357" s="33" t="s">
        <v>282</v>
      </c>
      <c r="S357" s="33" t="s">
        <v>1255</v>
      </c>
      <c r="T357" s="33" t="s">
        <v>668</v>
      </c>
      <c r="U357" s="20"/>
    </row>
    <row r="358" ht="104.4" spans="1:21">
      <c r="A358" s="20">
        <f t="shared" ref="A358:A367" si="42">ROW()-5</f>
        <v>353</v>
      </c>
      <c r="B358" s="20" t="s">
        <v>64</v>
      </c>
      <c r="C358" s="22" t="s">
        <v>65</v>
      </c>
      <c r="D358" s="20" t="s">
        <v>68</v>
      </c>
      <c r="E358" s="20" t="s">
        <v>1404</v>
      </c>
      <c r="F358" s="21" t="s">
        <v>1405</v>
      </c>
      <c r="G358" s="20" t="s">
        <v>152</v>
      </c>
      <c r="H358" s="20" t="s">
        <v>307</v>
      </c>
      <c r="I358" s="23">
        <f t="shared" si="38"/>
        <v>15</v>
      </c>
      <c r="J358" s="23">
        <v>15</v>
      </c>
      <c r="K358" s="20"/>
      <c r="L358" s="20" t="s">
        <v>145</v>
      </c>
      <c r="M358" s="20">
        <v>28</v>
      </c>
      <c r="N358" s="20">
        <v>80</v>
      </c>
      <c r="O358" s="20">
        <v>2</v>
      </c>
      <c r="P358" s="20">
        <v>5</v>
      </c>
      <c r="Q358" s="21" t="s">
        <v>1406</v>
      </c>
      <c r="R358" s="20" t="s">
        <v>155</v>
      </c>
      <c r="S358" s="20" t="s">
        <v>1255</v>
      </c>
      <c r="T358" s="20" t="s">
        <v>149</v>
      </c>
      <c r="U358" s="20"/>
    </row>
    <row r="359" ht="104.4" spans="1:21">
      <c r="A359" s="20">
        <f t="shared" si="42"/>
        <v>354</v>
      </c>
      <c r="B359" s="20" t="s">
        <v>64</v>
      </c>
      <c r="C359" s="22" t="s">
        <v>65</v>
      </c>
      <c r="D359" s="20" t="s">
        <v>68</v>
      </c>
      <c r="E359" s="20" t="s">
        <v>1407</v>
      </c>
      <c r="F359" s="21" t="s">
        <v>1408</v>
      </c>
      <c r="G359" s="20" t="s">
        <v>152</v>
      </c>
      <c r="H359" s="20" t="s">
        <v>307</v>
      </c>
      <c r="I359" s="23">
        <f t="shared" si="38"/>
        <v>28.28</v>
      </c>
      <c r="J359" s="23">
        <v>28.28</v>
      </c>
      <c r="K359" s="20"/>
      <c r="L359" s="20" t="s">
        <v>145</v>
      </c>
      <c r="M359" s="20">
        <v>43</v>
      </c>
      <c r="N359" s="20">
        <v>128</v>
      </c>
      <c r="O359" s="20">
        <v>2</v>
      </c>
      <c r="P359" s="20">
        <v>7</v>
      </c>
      <c r="Q359" s="21" t="s">
        <v>1409</v>
      </c>
      <c r="R359" s="20" t="s">
        <v>1255</v>
      </c>
      <c r="S359" s="20" t="s">
        <v>1255</v>
      </c>
      <c r="T359" s="20" t="s">
        <v>149</v>
      </c>
      <c r="U359" s="20"/>
    </row>
    <row r="360" ht="104.4" spans="1:21">
      <c r="A360" s="20">
        <f t="shared" si="42"/>
        <v>355</v>
      </c>
      <c r="B360" s="20" t="s">
        <v>64</v>
      </c>
      <c r="C360" s="20" t="s">
        <v>65</v>
      </c>
      <c r="D360" s="20" t="s">
        <v>68</v>
      </c>
      <c r="E360" s="20" t="s">
        <v>1410</v>
      </c>
      <c r="F360" s="21" t="s">
        <v>1411</v>
      </c>
      <c r="G360" s="20" t="s">
        <v>220</v>
      </c>
      <c r="H360" s="20" t="s">
        <v>221</v>
      </c>
      <c r="I360" s="23">
        <f t="shared" si="38"/>
        <v>58</v>
      </c>
      <c r="J360" s="23">
        <v>58</v>
      </c>
      <c r="K360" s="20"/>
      <c r="L360" s="20" t="s">
        <v>145</v>
      </c>
      <c r="M360" s="20">
        <v>69</v>
      </c>
      <c r="N360" s="20">
        <v>139</v>
      </c>
      <c r="O360" s="20">
        <v>2</v>
      </c>
      <c r="P360" s="20">
        <v>2</v>
      </c>
      <c r="Q360" s="21" t="s">
        <v>1412</v>
      </c>
      <c r="R360" s="20" t="s">
        <v>223</v>
      </c>
      <c r="S360" s="20" t="s">
        <v>1255</v>
      </c>
      <c r="T360" s="20" t="s">
        <v>387</v>
      </c>
      <c r="U360" s="20"/>
    </row>
    <row r="361" ht="104.4" spans="1:21">
      <c r="A361" s="20">
        <f t="shared" si="42"/>
        <v>356</v>
      </c>
      <c r="B361" s="20" t="s">
        <v>64</v>
      </c>
      <c r="C361" s="20" t="s">
        <v>65</v>
      </c>
      <c r="D361" s="20" t="s">
        <v>68</v>
      </c>
      <c r="E361" s="20" t="s">
        <v>1413</v>
      </c>
      <c r="F361" s="21" t="s">
        <v>1414</v>
      </c>
      <c r="G361" s="20" t="s">
        <v>220</v>
      </c>
      <c r="H361" s="20" t="s">
        <v>902</v>
      </c>
      <c r="I361" s="23">
        <f t="shared" si="38"/>
        <v>50</v>
      </c>
      <c r="J361" s="23">
        <v>50</v>
      </c>
      <c r="K361" s="20"/>
      <c r="L361" s="20" t="s">
        <v>145</v>
      </c>
      <c r="M361" s="20">
        <v>49</v>
      </c>
      <c r="N361" s="20">
        <v>133</v>
      </c>
      <c r="O361" s="20">
        <v>5</v>
      </c>
      <c r="P361" s="20">
        <v>5</v>
      </c>
      <c r="Q361" s="21" t="s">
        <v>1415</v>
      </c>
      <c r="R361" s="20" t="s">
        <v>223</v>
      </c>
      <c r="S361" s="20" t="s">
        <v>1255</v>
      </c>
      <c r="T361" s="20" t="s">
        <v>387</v>
      </c>
      <c r="U361" s="20"/>
    </row>
    <row r="362" ht="104.4" spans="1:21">
      <c r="A362" s="20">
        <f t="shared" si="42"/>
        <v>357</v>
      </c>
      <c r="B362" s="20" t="s">
        <v>64</v>
      </c>
      <c r="C362" s="20" t="s">
        <v>65</v>
      </c>
      <c r="D362" s="20" t="s">
        <v>68</v>
      </c>
      <c r="E362" s="20" t="s">
        <v>1416</v>
      </c>
      <c r="F362" s="21" t="s">
        <v>1417</v>
      </c>
      <c r="G362" s="20" t="s">
        <v>220</v>
      </c>
      <c r="H362" s="20" t="s">
        <v>902</v>
      </c>
      <c r="I362" s="23">
        <f t="shared" si="38"/>
        <v>33</v>
      </c>
      <c r="J362" s="23">
        <v>33</v>
      </c>
      <c r="K362" s="20"/>
      <c r="L362" s="20" t="s">
        <v>145</v>
      </c>
      <c r="M362" s="20">
        <v>43</v>
      </c>
      <c r="N362" s="20">
        <v>126</v>
      </c>
      <c r="O362" s="20">
        <v>1</v>
      </c>
      <c r="P362" s="20">
        <v>1</v>
      </c>
      <c r="Q362" s="21" t="s">
        <v>1418</v>
      </c>
      <c r="R362" s="20" t="s">
        <v>223</v>
      </c>
      <c r="S362" s="20" t="s">
        <v>1255</v>
      </c>
      <c r="T362" s="20" t="s">
        <v>387</v>
      </c>
      <c r="U362" s="20"/>
    </row>
    <row r="363" ht="104.4" spans="1:21">
      <c r="A363" s="20">
        <f t="shared" si="42"/>
        <v>358</v>
      </c>
      <c r="B363" s="20" t="s">
        <v>64</v>
      </c>
      <c r="C363" s="22" t="s">
        <v>65</v>
      </c>
      <c r="D363" s="20" t="s">
        <v>68</v>
      </c>
      <c r="E363" s="20" t="s">
        <v>1419</v>
      </c>
      <c r="F363" s="21" t="s">
        <v>1420</v>
      </c>
      <c r="G363" s="20" t="s">
        <v>152</v>
      </c>
      <c r="H363" s="20" t="s">
        <v>1367</v>
      </c>
      <c r="I363" s="23">
        <f t="shared" si="38"/>
        <v>32</v>
      </c>
      <c r="J363" s="23">
        <v>32</v>
      </c>
      <c r="K363" s="20"/>
      <c r="L363" s="20" t="s">
        <v>145</v>
      </c>
      <c r="M363" s="20">
        <v>36</v>
      </c>
      <c r="N363" s="20">
        <v>98</v>
      </c>
      <c r="O363" s="20">
        <v>1</v>
      </c>
      <c r="P363" s="20">
        <v>1</v>
      </c>
      <c r="Q363" s="21" t="s">
        <v>1421</v>
      </c>
      <c r="R363" s="20" t="s">
        <v>1255</v>
      </c>
      <c r="S363" s="20" t="s">
        <v>1255</v>
      </c>
      <c r="T363" s="20" t="s">
        <v>156</v>
      </c>
      <c r="U363" s="20"/>
    </row>
    <row r="364" ht="104.4" spans="1:21">
      <c r="A364" s="20">
        <f t="shared" si="42"/>
        <v>359</v>
      </c>
      <c r="B364" s="20" t="s">
        <v>64</v>
      </c>
      <c r="C364" s="20" t="s">
        <v>65</v>
      </c>
      <c r="D364" s="20" t="s">
        <v>68</v>
      </c>
      <c r="E364" s="20" t="s">
        <v>1422</v>
      </c>
      <c r="F364" s="21" t="s">
        <v>1423</v>
      </c>
      <c r="G364" s="20" t="s">
        <v>178</v>
      </c>
      <c r="H364" s="20" t="s">
        <v>433</v>
      </c>
      <c r="I364" s="23">
        <f t="shared" si="38"/>
        <v>30</v>
      </c>
      <c r="J364" s="29">
        <v>30</v>
      </c>
      <c r="K364" s="28"/>
      <c r="L364" s="28" t="s">
        <v>145</v>
      </c>
      <c r="M364" s="20">
        <v>44</v>
      </c>
      <c r="N364" s="20">
        <v>110</v>
      </c>
      <c r="O364" s="20">
        <v>2</v>
      </c>
      <c r="P364" s="20">
        <v>5</v>
      </c>
      <c r="Q364" s="21" t="s">
        <v>1424</v>
      </c>
      <c r="R364" s="20" t="s">
        <v>1255</v>
      </c>
      <c r="S364" s="20" t="s">
        <v>1255</v>
      </c>
      <c r="T364" s="20" t="s">
        <v>1341</v>
      </c>
      <c r="U364" s="20"/>
    </row>
    <row r="365" ht="104.4" spans="1:21">
      <c r="A365" s="20">
        <f t="shared" si="42"/>
        <v>360</v>
      </c>
      <c r="B365" s="20" t="s">
        <v>64</v>
      </c>
      <c r="C365" s="20" t="s">
        <v>65</v>
      </c>
      <c r="D365" s="20" t="s">
        <v>68</v>
      </c>
      <c r="E365" s="20" t="s">
        <v>1425</v>
      </c>
      <c r="F365" s="21" t="s">
        <v>1426</v>
      </c>
      <c r="G365" s="20" t="s">
        <v>178</v>
      </c>
      <c r="H365" s="22" t="s">
        <v>399</v>
      </c>
      <c r="I365" s="23">
        <f t="shared" si="38"/>
        <v>76</v>
      </c>
      <c r="J365" s="23">
        <v>76</v>
      </c>
      <c r="K365" s="20"/>
      <c r="L365" s="20" t="s">
        <v>145</v>
      </c>
      <c r="M365" s="20">
        <v>76</v>
      </c>
      <c r="N365" s="20">
        <v>219</v>
      </c>
      <c r="O365" s="20">
        <v>8</v>
      </c>
      <c r="P365" s="20">
        <v>13</v>
      </c>
      <c r="Q365" s="21" t="s">
        <v>1427</v>
      </c>
      <c r="R365" s="20" t="s">
        <v>181</v>
      </c>
      <c r="S365" s="20" t="s">
        <v>1255</v>
      </c>
      <c r="T365" s="20" t="s">
        <v>1341</v>
      </c>
      <c r="U365" s="20"/>
    </row>
    <row r="366" ht="104.4" spans="1:21">
      <c r="A366" s="20">
        <f t="shared" si="42"/>
        <v>361</v>
      </c>
      <c r="B366" s="20" t="s">
        <v>64</v>
      </c>
      <c r="C366" s="20" t="s">
        <v>65</v>
      </c>
      <c r="D366" s="20" t="s">
        <v>68</v>
      </c>
      <c r="E366" s="20" t="s">
        <v>1428</v>
      </c>
      <c r="F366" s="21" t="s">
        <v>1429</v>
      </c>
      <c r="G366" s="20" t="s">
        <v>178</v>
      </c>
      <c r="H366" s="20" t="s">
        <v>259</v>
      </c>
      <c r="I366" s="23">
        <f t="shared" si="38"/>
        <v>100</v>
      </c>
      <c r="J366" s="23">
        <v>100</v>
      </c>
      <c r="K366" s="20"/>
      <c r="L366" s="20" t="s">
        <v>145</v>
      </c>
      <c r="M366" s="20">
        <v>134</v>
      </c>
      <c r="N366" s="20">
        <v>430</v>
      </c>
      <c r="O366" s="20">
        <v>13</v>
      </c>
      <c r="P366" s="20">
        <v>28</v>
      </c>
      <c r="Q366" s="21" t="s">
        <v>1430</v>
      </c>
      <c r="R366" s="20" t="s">
        <v>181</v>
      </c>
      <c r="S366" s="20" t="s">
        <v>1255</v>
      </c>
      <c r="T366" s="20" t="s">
        <v>1341</v>
      </c>
      <c r="U366" s="20"/>
    </row>
    <row r="367" ht="104.4" spans="1:21">
      <c r="A367" s="20">
        <f t="shared" si="42"/>
        <v>362</v>
      </c>
      <c r="B367" s="20" t="s">
        <v>64</v>
      </c>
      <c r="C367" s="20" t="s">
        <v>65</v>
      </c>
      <c r="D367" s="20" t="s">
        <v>68</v>
      </c>
      <c r="E367" s="20" t="s">
        <v>1431</v>
      </c>
      <c r="F367" s="21" t="s">
        <v>1432</v>
      </c>
      <c r="G367" s="20" t="s">
        <v>178</v>
      </c>
      <c r="H367" s="20" t="s">
        <v>259</v>
      </c>
      <c r="I367" s="23">
        <f t="shared" si="38"/>
        <v>30</v>
      </c>
      <c r="J367" s="23">
        <v>30</v>
      </c>
      <c r="K367" s="20"/>
      <c r="L367" s="20" t="s">
        <v>145</v>
      </c>
      <c r="M367" s="20">
        <v>29</v>
      </c>
      <c r="N367" s="20">
        <v>91</v>
      </c>
      <c r="O367" s="20">
        <v>4</v>
      </c>
      <c r="P367" s="20">
        <v>10</v>
      </c>
      <c r="Q367" s="21" t="s">
        <v>1433</v>
      </c>
      <c r="R367" s="20" t="s">
        <v>181</v>
      </c>
      <c r="S367" s="20" t="s">
        <v>1255</v>
      </c>
      <c r="T367" s="20" t="s">
        <v>1341</v>
      </c>
      <c r="U367" s="20"/>
    </row>
    <row r="368" ht="182" customHeight="1" spans="1:21">
      <c r="A368" s="20">
        <f t="shared" ref="A368:A386" si="43">ROW()-5</f>
        <v>363</v>
      </c>
      <c r="B368" s="20" t="s">
        <v>64</v>
      </c>
      <c r="C368" s="20" t="s">
        <v>65</v>
      </c>
      <c r="D368" s="20" t="s">
        <v>68</v>
      </c>
      <c r="E368" s="20" t="s">
        <v>1434</v>
      </c>
      <c r="F368" s="21" t="s">
        <v>1435</v>
      </c>
      <c r="G368" s="20" t="s">
        <v>272</v>
      </c>
      <c r="H368" s="20" t="s">
        <v>356</v>
      </c>
      <c r="I368" s="23">
        <f t="shared" si="38"/>
        <v>66</v>
      </c>
      <c r="J368" s="30">
        <v>66</v>
      </c>
      <c r="K368" s="22"/>
      <c r="L368" s="22" t="s">
        <v>145</v>
      </c>
      <c r="M368" s="22">
        <v>98</v>
      </c>
      <c r="N368" s="22">
        <v>275</v>
      </c>
      <c r="O368" s="22">
        <v>4</v>
      </c>
      <c r="P368" s="22">
        <v>8</v>
      </c>
      <c r="Q368" s="25" t="s">
        <v>1436</v>
      </c>
      <c r="R368" s="20" t="s">
        <v>275</v>
      </c>
      <c r="S368" s="20" t="s">
        <v>1255</v>
      </c>
      <c r="T368" s="20" t="s">
        <v>652</v>
      </c>
      <c r="U368" s="20"/>
    </row>
    <row r="369" ht="104.4" spans="1:21">
      <c r="A369" s="20">
        <f t="shared" si="43"/>
        <v>364</v>
      </c>
      <c r="B369" s="20" t="s">
        <v>64</v>
      </c>
      <c r="C369" s="20" t="s">
        <v>65</v>
      </c>
      <c r="D369" s="20" t="s">
        <v>68</v>
      </c>
      <c r="E369" s="20" t="s">
        <v>1437</v>
      </c>
      <c r="F369" s="21" t="s">
        <v>1438</v>
      </c>
      <c r="G369" s="20" t="s">
        <v>272</v>
      </c>
      <c r="H369" s="20" t="s">
        <v>1439</v>
      </c>
      <c r="I369" s="23">
        <f t="shared" si="38"/>
        <v>28.45</v>
      </c>
      <c r="J369" s="30">
        <v>28.45</v>
      </c>
      <c r="K369" s="20">
        <v>0</v>
      </c>
      <c r="L369" s="20" t="s">
        <v>145</v>
      </c>
      <c r="M369" s="20">
        <v>48</v>
      </c>
      <c r="N369" s="20">
        <v>119</v>
      </c>
      <c r="O369" s="20">
        <v>6</v>
      </c>
      <c r="P369" s="20">
        <v>7</v>
      </c>
      <c r="Q369" s="21" t="s">
        <v>1440</v>
      </c>
      <c r="R369" s="20" t="s">
        <v>275</v>
      </c>
      <c r="S369" s="20" t="s">
        <v>1255</v>
      </c>
      <c r="T369" s="20" t="s">
        <v>652</v>
      </c>
      <c r="U369" s="20"/>
    </row>
    <row r="370" ht="104.4" spans="1:21">
      <c r="A370" s="20">
        <f t="shared" si="43"/>
        <v>365</v>
      </c>
      <c r="B370" s="20" t="s">
        <v>64</v>
      </c>
      <c r="C370" s="20" t="s">
        <v>65</v>
      </c>
      <c r="D370" s="20" t="s">
        <v>68</v>
      </c>
      <c r="E370" s="20" t="s">
        <v>1441</v>
      </c>
      <c r="F370" s="21" t="s">
        <v>1442</v>
      </c>
      <c r="G370" s="20" t="s">
        <v>272</v>
      </c>
      <c r="H370" s="20" t="s">
        <v>1443</v>
      </c>
      <c r="I370" s="23">
        <f t="shared" si="38"/>
        <v>43</v>
      </c>
      <c r="J370" s="23">
        <v>43</v>
      </c>
      <c r="K370" s="20">
        <v>0</v>
      </c>
      <c r="L370" s="20" t="s">
        <v>145</v>
      </c>
      <c r="M370" s="20">
        <v>102</v>
      </c>
      <c r="N370" s="20">
        <v>252</v>
      </c>
      <c r="O370" s="20">
        <v>0</v>
      </c>
      <c r="P370" s="20">
        <v>0</v>
      </c>
      <c r="Q370" s="21" t="s">
        <v>1444</v>
      </c>
      <c r="R370" s="20" t="s">
        <v>275</v>
      </c>
      <c r="S370" s="20" t="s">
        <v>1255</v>
      </c>
      <c r="T370" s="20" t="s">
        <v>652</v>
      </c>
      <c r="U370" s="20"/>
    </row>
    <row r="371" ht="104.4" spans="1:21">
      <c r="A371" s="20">
        <f t="shared" si="43"/>
        <v>366</v>
      </c>
      <c r="B371" s="20" t="s">
        <v>64</v>
      </c>
      <c r="C371" s="20" t="s">
        <v>65</v>
      </c>
      <c r="D371" s="20" t="s">
        <v>68</v>
      </c>
      <c r="E371" s="20" t="s">
        <v>1445</v>
      </c>
      <c r="F371" s="21" t="s">
        <v>1446</v>
      </c>
      <c r="G371" s="20" t="s">
        <v>272</v>
      </c>
      <c r="H371" s="20" t="s">
        <v>454</v>
      </c>
      <c r="I371" s="23">
        <f t="shared" si="38"/>
        <v>20</v>
      </c>
      <c r="J371" s="23">
        <v>20</v>
      </c>
      <c r="K371" s="20">
        <v>0</v>
      </c>
      <c r="L371" s="20" t="s">
        <v>145</v>
      </c>
      <c r="M371" s="20">
        <v>70</v>
      </c>
      <c r="N371" s="20">
        <v>187</v>
      </c>
      <c r="O371" s="20">
        <v>4</v>
      </c>
      <c r="P371" s="20">
        <v>9</v>
      </c>
      <c r="Q371" s="21" t="s">
        <v>1447</v>
      </c>
      <c r="R371" s="20" t="s">
        <v>1255</v>
      </c>
      <c r="S371" s="20" t="s">
        <v>1255</v>
      </c>
      <c r="T371" s="20" t="s">
        <v>276</v>
      </c>
      <c r="U371" s="20"/>
    </row>
    <row r="372" ht="110" customHeight="1" spans="1:21">
      <c r="A372" s="20">
        <f t="shared" si="43"/>
        <v>367</v>
      </c>
      <c r="B372" s="20" t="s">
        <v>64</v>
      </c>
      <c r="C372" s="20" t="s">
        <v>65</v>
      </c>
      <c r="D372" s="20" t="s">
        <v>68</v>
      </c>
      <c r="E372" s="20" t="s">
        <v>1448</v>
      </c>
      <c r="F372" s="21" t="s">
        <v>1449</v>
      </c>
      <c r="G372" s="20" t="s">
        <v>343</v>
      </c>
      <c r="H372" s="20" t="s">
        <v>626</v>
      </c>
      <c r="I372" s="23">
        <f t="shared" si="38"/>
        <v>68</v>
      </c>
      <c r="J372" s="23">
        <v>68</v>
      </c>
      <c r="K372" s="28"/>
      <c r="L372" s="20" t="s">
        <v>145</v>
      </c>
      <c r="M372" s="20">
        <v>42</v>
      </c>
      <c r="N372" s="20">
        <v>214</v>
      </c>
      <c r="O372" s="20">
        <v>3</v>
      </c>
      <c r="P372" s="28">
        <v>7</v>
      </c>
      <c r="Q372" s="21" t="s">
        <v>1450</v>
      </c>
      <c r="R372" s="20" t="s">
        <v>346</v>
      </c>
      <c r="S372" s="20" t="s">
        <v>1255</v>
      </c>
      <c r="T372" s="20" t="s">
        <v>570</v>
      </c>
      <c r="U372" s="20"/>
    </row>
    <row r="373" ht="104.4" spans="1:21">
      <c r="A373" s="20">
        <f t="shared" si="43"/>
        <v>368</v>
      </c>
      <c r="B373" s="20" t="s">
        <v>64</v>
      </c>
      <c r="C373" s="20" t="s">
        <v>65</v>
      </c>
      <c r="D373" s="20" t="s">
        <v>68</v>
      </c>
      <c r="E373" s="20" t="s">
        <v>1451</v>
      </c>
      <c r="F373" s="21" t="s">
        <v>1452</v>
      </c>
      <c r="G373" s="20" t="s">
        <v>185</v>
      </c>
      <c r="H373" s="20" t="s">
        <v>963</v>
      </c>
      <c r="I373" s="23">
        <f t="shared" si="38"/>
        <v>30</v>
      </c>
      <c r="J373" s="23">
        <v>30</v>
      </c>
      <c r="K373" s="20"/>
      <c r="L373" s="20" t="s">
        <v>145</v>
      </c>
      <c r="M373" s="20">
        <v>166</v>
      </c>
      <c r="N373" s="20">
        <v>487</v>
      </c>
      <c r="O373" s="20">
        <v>2</v>
      </c>
      <c r="P373" s="20">
        <v>2</v>
      </c>
      <c r="Q373" s="21" t="s">
        <v>1453</v>
      </c>
      <c r="R373" s="20" t="s">
        <v>188</v>
      </c>
      <c r="S373" s="20" t="s">
        <v>1255</v>
      </c>
      <c r="T373" s="20" t="s">
        <v>189</v>
      </c>
      <c r="U373" s="20"/>
    </row>
    <row r="374" ht="104.4" spans="1:21">
      <c r="A374" s="20">
        <f t="shared" si="43"/>
        <v>369</v>
      </c>
      <c r="B374" s="20" t="s">
        <v>64</v>
      </c>
      <c r="C374" s="20" t="s">
        <v>65</v>
      </c>
      <c r="D374" s="20" t="s">
        <v>68</v>
      </c>
      <c r="E374" s="20" t="s">
        <v>1454</v>
      </c>
      <c r="F374" s="21" t="s">
        <v>1455</v>
      </c>
      <c r="G374" s="20" t="s">
        <v>185</v>
      </c>
      <c r="H374" s="20" t="s">
        <v>501</v>
      </c>
      <c r="I374" s="23">
        <f t="shared" si="38"/>
        <v>55</v>
      </c>
      <c r="J374" s="23">
        <v>55</v>
      </c>
      <c r="K374" s="20"/>
      <c r="L374" s="20" t="s">
        <v>145</v>
      </c>
      <c r="M374" s="20">
        <v>231</v>
      </c>
      <c r="N374" s="20">
        <v>661</v>
      </c>
      <c r="O374" s="20">
        <v>10</v>
      </c>
      <c r="P374" s="20">
        <v>20</v>
      </c>
      <c r="Q374" s="21" t="s">
        <v>1456</v>
      </c>
      <c r="R374" s="20" t="s">
        <v>188</v>
      </c>
      <c r="S374" s="20" t="s">
        <v>1255</v>
      </c>
      <c r="T374" s="20" t="s">
        <v>189</v>
      </c>
      <c r="U374" s="20"/>
    </row>
    <row r="375" ht="104.4" spans="1:21">
      <c r="A375" s="20">
        <f t="shared" si="43"/>
        <v>370</v>
      </c>
      <c r="B375" s="20" t="s">
        <v>64</v>
      </c>
      <c r="C375" s="20" t="s">
        <v>65</v>
      </c>
      <c r="D375" s="20" t="s">
        <v>68</v>
      </c>
      <c r="E375" s="20" t="s">
        <v>1457</v>
      </c>
      <c r="F375" s="21" t="s">
        <v>1458</v>
      </c>
      <c r="G375" s="20" t="s">
        <v>185</v>
      </c>
      <c r="H375" s="20" t="s">
        <v>501</v>
      </c>
      <c r="I375" s="23">
        <f t="shared" si="38"/>
        <v>80</v>
      </c>
      <c r="J375" s="23">
        <v>80</v>
      </c>
      <c r="K375" s="20"/>
      <c r="L375" s="20" t="s">
        <v>145</v>
      </c>
      <c r="M375" s="20">
        <v>169</v>
      </c>
      <c r="N375" s="20">
        <v>452</v>
      </c>
      <c r="O375" s="20">
        <v>16</v>
      </c>
      <c r="P375" s="20">
        <v>25</v>
      </c>
      <c r="Q375" s="21" t="s">
        <v>1459</v>
      </c>
      <c r="R375" s="20" t="s">
        <v>188</v>
      </c>
      <c r="S375" s="20" t="s">
        <v>1255</v>
      </c>
      <c r="T375" s="20" t="s">
        <v>189</v>
      </c>
      <c r="U375" s="20"/>
    </row>
    <row r="376" ht="104.4" spans="1:21">
      <c r="A376" s="20">
        <f t="shared" si="43"/>
        <v>371</v>
      </c>
      <c r="B376" s="20" t="s">
        <v>64</v>
      </c>
      <c r="C376" s="20" t="s">
        <v>65</v>
      </c>
      <c r="D376" s="20" t="s">
        <v>68</v>
      </c>
      <c r="E376" s="20" t="s">
        <v>1460</v>
      </c>
      <c r="F376" s="21" t="s">
        <v>1461</v>
      </c>
      <c r="G376" s="20" t="s">
        <v>171</v>
      </c>
      <c r="H376" s="20" t="s">
        <v>1462</v>
      </c>
      <c r="I376" s="23">
        <f t="shared" si="38"/>
        <v>100</v>
      </c>
      <c r="J376" s="23">
        <v>100</v>
      </c>
      <c r="K376" s="20"/>
      <c r="L376" s="20" t="s">
        <v>145</v>
      </c>
      <c r="M376" s="20">
        <v>30</v>
      </c>
      <c r="N376" s="20">
        <v>85</v>
      </c>
      <c r="O376" s="20">
        <v>0</v>
      </c>
      <c r="P376" s="20">
        <v>0</v>
      </c>
      <c r="Q376" s="21" t="s">
        <v>1463</v>
      </c>
      <c r="R376" s="20" t="s">
        <v>174</v>
      </c>
      <c r="S376" s="20" t="s">
        <v>1255</v>
      </c>
      <c r="T376" s="20" t="s">
        <v>256</v>
      </c>
      <c r="U376" s="20"/>
    </row>
    <row r="377" ht="104.4" spans="1:21">
      <c r="A377" s="20">
        <f t="shared" si="43"/>
        <v>372</v>
      </c>
      <c r="B377" s="20" t="s">
        <v>64</v>
      </c>
      <c r="C377" s="20" t="s">
        <v>65</v>
      </c>
      <c r="D377" s="20" t="s">
        <v>68</v>
      </c>
      <c r="E377" s="20" t="s">
        <v>1464</v>
      </c>
      <c r="F377" s="21" t="s">
        <v>1465</v>
      </c>
      <c r="G377" s="20" t="s">
        <v>164</v>
      </c>
      <c r="H377" s="20" t="s">
        <v>1466</v>
      </c>
      <c r="I377" s="23">
        <f t="shared" si="38"/>
        <v>60</v>
      </c>
      <c r="J377" s="23">
        <v>60</v>
      </c>
      <c r="K377" s="20"/>
      <c r="L377" s="20" t="s">
        <v>145</v>
      </c>
      <c r="M377" s="20">
        <v>77</v>
      </c>
      <c r="N377" s="20">
        <v>222</v>
      </c>
      <c r="O377" s="20">
        <v>1</v>
      </c>
      <c r="P377" s="20">
        <v>3</v>
      </c>
      <c r="Q377" s="21" t="s">
        <v>1467</v>
      </c>
      <c r="R377" s="20" t="s">
        <v>1255</v>
      </c>
      <c r="S377" s="20" t="s">
        <v>1255</v>
      </c>
      <c r="T377" s="20" t="s">
        <v>392</v>
      </c>
      <c r="U377" s="20"/>
    </row>
    <row r="378" ht="121.8" spans="1:21">
      <c r="A378" s="20">
        <f t="shared" si="43"/>
        <v>373</v>
      </c>
      <c r="B378" s="20" t="s">
        <v>64</v>
      </c>
      <c r="C378" s="20" t="s">
        <v>65</v>
      </c>
      <c r="D378" s="20" t="s">
        <v>68</v>
      </c>
      <c r="E378" s="20" t="s">
        <v>1468</v>
      </c>
      <c r="F378" s="21" t="s">
        <v>1469</v>
      </c>
      <c r="G378" s="20" t="s">
        <v>171</v>
      </c>
      <c r="H378" s="20" t="s">
        <v>1044</v>
      </c>
      <c r="I378" s="23">
        <f t="shared" si="38"/>
        <v>123.58</v>
      </c>
      <c r="J378" s="23">
        <v>123.58</v>
      </c>
      <c r="K378" s="20">
        <v>0</v>
      </c>
      <c r="L378" s="20" t="s">
        <v>145</v>
      </c>
      <c r="M378" s="20">
        <v>240</v>
      </c>
      <c r="N378" s="20">
        <v>510</v>
      </c>
      <c r="O378" s="20">
        <v>12</v>
      </c>
      <c r="P378" s="20">
        <v>26</v>
      </c>
      <c r="Q378" s="20" t="s">
        <v>1470</v>
      </c>
      <c r="R378" s="20" t="s">
        <v>1255</v>
      </c>
      <c r="S378" s="20" t="s">
        <v>1255</v>
      </c>
      <c r="T378" s="20" t="s">
        <v>1056</v>
      </c>
      <c r="U378" s="20"/>
    </row>
    <row r="379" s="3" customFormat="1" ht="89" customHeight="1" spans="1:21">
      <c r="A379" s="20">
        <f t="shared" si="43"/>
        <v>374</v>
      </c>
      <c r="B379" s="20" t="s">
        <v>64</v>
      </c>
      <c r="C379" s="22" t="s">
        <v>65</v>
      </c>
      <c r="D379" s="20" t="s">
        <v>69</v>
      </c>
      <c r="E379" s="20" t="s">
        <v>1471</v>
      </c>
      <c r="F379" s="21" t="s">
        <v>1472</v>
      </c>
      <c r="G379" s="20" t="s">
        <v>164</v>
      </c>
      <c r="H379" s="20" t="s">
        <v>1466</v>
      </c>
      <c r="I379" s="23">
        <f t="shared" si="38"/>
        <v>7</v>
      </c>
      <c r="J379" s="29">
        <v>7</v>
      </c>
      <c r="K379" s="28"/>
      <c r="L379" s="28" t="s">
        <v>145</v>
      </c>
      <c r="M379" s="28">
        <v>121</v>
      </c>
      <c r="N379" s="28">
        <v>335</v>
      </c>
      <c r="O379" s="28">
        <v>5</v>
      </c>
      <c r="P379" s="28">
        <v>8</v>
      </c>
      <c r="Q379" s="21" t="s">
        <v>1473</v>
      </c>
      <c r="R379" s="20" t="s">
        <v>167</v>
      </c>
      <c r="S379" s="20" t="s">
        <v>148</v>
      </c>
      <c r="T379" s="20" t="s">
        <v>168</v>
      </c>
      <c r="U379" s="20"/>
    </row>
    <row r="380" ht="115" customHeight="1" spans="1:21">
      <c r="A380" s="20">
        <f t="shared" si="43"/>
        <v>375</v>
      </c>
      <c r="B380" s="20" t="s">
        <v>64</v>
      </c>
      <c r="C380" s="20" t="s">
        <v>65</v>
      </c>
      <c r="D380" s="20" t="s">
        <v>69</v>
      </c>
      <c r="E380" s="20" t="s">
        <v>1474</v>
      </c>
      <c r="F380" s="21" t="s">
        <v>1475</v>
      </c>
      <c r="G380" s="20" t="s">
        <v>279</v>
      </c>
      <c r="H380" s="20" t="s">
        <v>1313</v>
      </c>
      <c r="I380" s="23">
        <f t="shared" si="38"/>
        <v>22</v>
      </c>
      <c r="J380" s="23">
        <v>22</v>
      </c>
      <c r="K380" s="20"/>
      <c r="L380" s="20" t="s">
        <v>145</v>
      </c>
      <c r="M380" s="20">
        <v>205</v>
      </c>
      <c r="N380" s="20">
        <v>579</v>
      </c>
      <c r="O380" s="20">
        <v>6</v>
      </c>
      <c r="P380" s="20">
        <v>13</v>
      </c>
      <c r="Q380" s="21" t="s">
        <v>1476</v>
      </c>
      <c r="R380" s="20" t="s">
        <v>282</v>
      </c>
      <c r="S380" s="20" t="s">
        <v>148</v>
      </c>
      <c r="T380" s="20" t="s">
        <v>392</v>
      </c>
      <c r="U380" s="20"/>
    </row>
    <row r="381" s="3" customFormat="1" ht="89" customHeight="1" spans="1:21">
      <c r="A381" s="20">
        <f t="shared" si="43"/>
        <v>376</v>
      </c>
      <c r="B381" s="20" t="s">
        <v>64</v>
      </c>
      <c r="C381" s="22" t="s">
        <v>65</v>
      </c>
      <c r="D381" s="20" t="s">
        <v>41</v>
      </c>
      <c r="E381" s="20" t="s">
        <v>1477</v>
      </c>
      <c r="F381" s="21" t="s">
        <v>1478</v>
      </c>
      <c r="G381" s="20" t="s">
        <v>272</v>
      </c>
      <c r="H381" s="20" t="s">
        <v>602</v>
      </c>
      <c r="I381" s="23">
        <f t="shared" si="38"/>
        <v>5.4</v>
      </c>
      <c r="J381" s="23">
        <v>5.4</v>
      </c>
      <c r="K381" s="20">
        <v>0</v>
      </c>
      <c r="L381" s="20" t="s">
        <v>145</v>
      </c>
      <c r="M381" s="20">
        <v>172</v>
      </c>
      <c r="N381" s="20">
        <v>462</v>
      </c>
      <c r="O381" s="20">
        <v>3</v>
      </c>
      <c r="P381" s="20">
        <v>3</v>
      </c>
      <c r="Q381" s="21" t="s">
        <v>1479</v>
      </c>
      <c r="R381" s="20" t="s">
        <v>275</v>
      </c>
      <c r="S381" s="20" t="s">
        <v>148</v>
      </c>
      <c r="T381" s="20" t="s">
        <v>276</v>
      </c>
      <c r="U381" s="28"/>
    </row>
    <row r="382" s="3" customFormat="1" ht="96" customHeight="1" spans="1:21">
      <c r="A382" s="20">
        <f t="shared" si="43"/>
        <v>377</v>
      </c>
      <c r="B382" s="20" t="s">
        <v>64</v>
      </c>
      <c r="C382" s="20" t="s">
        <v>65</v>
      </c>
      <c r="D382" s="20" t="s">
        <v>41</v>
      </c>
      <c r="E382" s="20" t="s">
        <v>1480</v>
      </c>
      <c r="F382" s="21" t="s">
        <v>1481</v>
      </c>
      <c r="G382" s="20" t="s">
        <v>185</v>
      </c>
      <c r="H382" s="20" t="s">
        <v>497</v>
      </c>
      <c r="I382" s="23">
        <f t="shared" si="38"/>
        <v>101</v>
      </c>
      <c r="J382" s="23">
        <v>101</v>
      </c>
      <c r="K382" s="28"/>
      <c r="L382" s="20" t="s">
        <v>145</v>
      </c>
      <c r="M382" s="20">
        <v>136</v>
      </c>
      <c r="N382" s="28">
        <v>386</v>
      </c>
      <c r="O382" s="20">
        <v>3</v>
      </c>
      <c r="P382" s="28">
        <v>7</v>
      </c>
      <c r="Q382" s="21" t="s">
        <v>1482</v>
      </c>
      <c r="R382" s="20" t="s">
        <v>188</v>
      </c>
      <c r="S382" s="20" t="s">
        <v>148</v>
      </c>
      <c r="T382" s="20" t="s">
        <v>189</v>
      </c>
      <c r="U382" s="20"/>
    </row>
    <row r="383" s="3" customFormat="1" ht="96" customHeight="1" spans="1:21">
      <c r="A383" s="20">
        <f t="shared" si="43"/>
        <v>378</v>
      </c>
      <c r="B383" s="20" t="s">
        <v>64</v>
      </c>
      <c r="C383" s="20" t="s">
        <v>73</v>
      </c>
      <c r="D383" s="20" t="s">
        <v>74</v>
      </c>
      <c r="E383" s="20" t="s">
        <v>1483</v>
      </c>
      <c r="F383" s="21" t="s">
        <v>1484</v>
      </c>
      <c r="G383" s="20" t="s">
        <v>152</v>
      </c>
      <c r="H383" s="20" t="s">
        <v>318</v>
      </c>
      <c r="I383" s="23">
        <f t="shared" si="38"/>
        <v>60</v>
      </c>
      <c r="J383" s="23">
        <v>60</v>
      </c>
      <c r="K383" s="20"/>
      <c r="L383" s="20" t="s">
        <v>145</v>
      </c>
      <c r="M383" s="20">
        <v>63</v>
      </c>
      <c r="N383" s="20">
        <v>176</v>
      </c>
      <c r="O383" s="20">
        <v>1</v>
      </c>
      <c r="P383" s="20">
        <v>1</v>
      </c>
      <c r="Q383" s="21" t="s">
        <v>1485</v>
      </c>
      <c r="R383" s="20" t="s">
        <v>155</v>
      </c>
      <c r="S383" s="20" t="s">
        <v>148</v>
      </c>
      <c r="T383" s="20" t="s">
        <v>320</v>
      </c>
      <c r="U383" s="20"/>
    </row>
    <row r="384" s="3" customFormat="1" ht="94" customHeight="1" spans="1:21">
      <c r="A384" s="20">
        <f t="shared" si="43"/>
        <v>379</v>
      </c>
      <c r="B384" s="20" t="s">
        <v>64</v>
      </c>
      <c r="C384" s="20" t="s">
        <v>73</v>
      </c>
      <c r="D384" s="20" t="s">
        <v>74</v>
      </c>
      <c r="E384" s="20" t="s">
        <v>1486</v>
      </c>
      <c r="F384" s="21" t="s">
        <v>1487</v>
      </c>
      <c r="G384" s="20" t="s">
        <v>343</v>
      </c>
      <c r="H384" s="20" t="s">
        <v>344</v>
      </c>
      <c r="I384" s="23">
        <f t="shared" si="38"/>
        <v>32</v>
      </c>
      <c r="J384" s="23">
        <v>32</v>
      </c>
      <c r="K384" s="20"/>
      <c r="L384" s="20" t="s">
        <v>145</v>
      </c>
      <c r="M384" s="20">
        <v>488</v>
      </c>
      <c r="N384" s="20">
        <v>1468</v>
      </c>
      <c r="O384" s="20">
        <v>11</v>
      </c>
      <c r="P384" s="20">
        <v>23</v>
      </c>
      <c r="Q384" s="21" t="s">
        <v>1488</v>
      </c>
      <c r="R384" s="20" t="s">
        <v>346</v>
      </c>
      <c r="S384" s="20" t="s">
        <v>148</v>
      </c>
      <c r="T384" s="20" t="s">
        <v>347</v>
      </c>
      <c r="U384" s="28"/>
    </row>
    <row r="385" s="3" customFormat="1" ht="94" customHeight="1" spans="1:21">
      <c r="A385" s="20">
        <f t="shared" si="43"/>
        <v>380</v>
      </c>
      <c r="B385" s="20" t="s">
        <v>64</v>
      </c>
      <c r="C385" s="20" t="s">
        <v>73</v>
      </c>
      <c r="D385" s="20" t="s">
        <v>75</v>
      </c>
      <c r="E385" s="20" t="s">
        <v>1489</v>
      </c>
      <c r="F385" s="21" t="s">
        <v>1490</v>
      </c>
      <c r="G385" s="20" t="s">
        <v>185</v>
      </c>
      <c r="H385" s="20" t="s">
        <v>514</v>
      </c>
      <c r="I385" s="23">
        <f t="shared" si="38"/>
        <v>20</v>
      </c>
      <c r="J385" s="29">
        <v>20</v>
      </c>
      <c r="K385" s="28"/>
      <c r="L385" s="20" t="s">
        <v>145</v>
      </c>
      <c r="M385" s="28">
        <v>81</v>
      </c>
      <c r="N385" s="28">
        <v>224</v>
      </c>
      <c r="O385" s="28">
        <v>0</v>
      </c>
      <c r="P385" s="28">
        <v>0</v>
      </c>
      <c r="Q385" s="21" t="s">
        <v>1491</v>
      </c>
      <c r="R385" s="20" t="s">
        <v>188</v>
      </c>
      <c r="S385" s="20" t="s">
        <v>148</v>
      </c>
      <c r="T385" s="20" t="s">
        <v>189</v>
      </c>
      <c r="U385" s="28"/>
    </row>
    <row r="386" s="3" customFormat="1" ht="131" customHeight="1" spans="1:21">
      <c r="A386" s="20">
        <f t="shared" si="43"/>
        <v>381</v>
      </c>
      <c r="B386" s="20" t="s">
        <v>64</v>
      </c>
      <c r="C386" s="20" t="s">
        <v>73</v>
      </c>
      <c r="D386" s="20" t="s">
        <v>75</v>
      </c>
      <c r="E386" s="20" t="s">
        <v>1492</v>
      </c>
      <c r="F386" s="21" t="s">
        <v>1493</v>
      </c>
      <c r="G386" s="20" t="s">
        <v>185</v>
      </c>
      <c r="H386" s="20" t="s">
        <v>497</v>
      </c>
      <c r="I386" s="23">
        <f t="shared" si="38"/>
        <v>19.6926</v>
      </c>
      <c r="J386" s="23">
        <v>19.6926</v>
      </c>
      <c r="K386" s="20"/>
      <c r="L386" s="20" t="s">
        <v>145</v>
      </c>
      <c r="M386" s="20">
        <v>136</v>
      </c>
      <c r="N386" s="28">
        <v>386</v>
      </c>
      <c r="O386" s="20">
        <v>3</v>
      </c>
      <c r="P386" s="28">
        <v>7</v>
      </c>
      <c r="Q386" s="21" t="s">
        <v>1494</v>
      </c>
      <c r="R386" s="20" t="s">
        <v>188</v>
      </c>
      <c r="S386" s="20" t="s">
        <v>148</v>
      </c>
      <c r="T386" s="20" t="s">
        <v>189</v>
      </c>
      <c r="U386" s="28"/>
    </row>
    <row r="387" s="3" customFormat="1" ht="95" customHeight="1" spans="1:21">
      <c r="A387" s="20">
        <f t="shared" ref="A387:A396" si="44">ROW()-5</f>
        <v>382</v>
      </c>
      <c r="B387" s="20" t="s">
        <v>64</v>
      </c>
      <c r="C387" s="20" t="s">
        <v>73</v>
      </c>
      <c r="D387" s="20" t="s">
        <v>76</v>
      </c>
      <c r="E387" s="20" t="s">
        <v>1495</v>
      </c>
      <c r="F387" s="21" t="s">
        <v>1496</v>
      </c>
      <c r="G387" s="20" t="s">
        <v>198</v>
      </c>
      <c r="H387" s="20" t="s">
        <v>1497</v>
      </c>
      <c r="I387" s="23">
        <f t="shared" si="38"/>
        <v>15</v>
      </c>
      <c r="J387" s="23">
        <v>15</v>
      </c>
      <c r="K387" s="28"/>
      <c r="L387" s="20" t="s">
        <v>145</v>
      </c>
      <c r="M387" s="20">
        <v>434</v>
      </c>
      <c r="N387" s="20">
        <v>1227</v>
      </c>
      <c r="O387" s="20">
        <v>8</v>
      </c>
      <c r="P387" s="20">
        <v>18</v>
      </c>
      <c r="Q387" s="21" t="s">
        <v>1498</v>
      </c>
      <c r="R387" s="20" t="s">
        <v>201</v>
      </c>
      <c r="S387" s="20" t="s">
        <v>148</v>
      </c>
      <c r="T387" s="20" t="s">
        <v>202</v>
      </c>
      <c r="U387" s="28"/>
    </row>
    <row r="388" s="3" customFormat="1" ht="95" customHeight="1" spans="1:21">
      <c r="A388" s="20">
        <f t="shared" si="44"/>
        <v>383</v>
      </c>
      <c r="B388" s="20" t="s">
        <v>64</v>
      </c>
      <c r="C388" s="20" t="s">
        <v>73</v>
      </c>
      <c r="D388" s="20" t="s">
        <v>76</v>
      </c>
      <c r="E388" s="20" t="s">
        <v>1499</v>
      </c>
      <c r="F388" s="21" t="s">
        <v>1500</v>
      </c>
      <c r="G388" s="20" t="s">
        <v>279</v>
      </c>
      <c r="H388" s="20" t="s">
        <v>1313</v>
      </c>
      <c r="I388" s="23">
        <f t="shared" si="38"/>
        <v>13.5</v>
      </c>
      <c r="J388" s="23">
        <v>13.5</v>
      </c>
      <c r="K388" s="20"/>
      <c r="L388" s="20" t="s">
        <v>145</v>
      </c>
      <c r="M388" s="20">
        <v>328</v>
      </c>
      <c r="N388" s="20">
        <v>1145</v>
      </c>
      <c r="O388" s="20">
        <v>19</v>
      </c>
      <c r="P388" s="20">
        <v>44</v>
      </c>
      <c r="Q388" s="21" t="s">
        <v>1501</v>
      </c>
      <c r="R388" s="20" t="s">
        <v>282</v>
      </c>
      <c r="S388" s="20" t="s">
        <v>148</v>
      </c>
      <c r="T388" s="20" t="s">
        <v>608</v>
      </c>
      <c r="U388" s="20"/>
    </row>
    <row r="389" s="3" customFormat="1" ht="95" customHeight="1" spans="1:21">
      <c r="A389" s="20">
        <f t="shared" si="44"/>
        <v>384</v>
      </c>
      <c r="B389" s="20" t="s">
        <v>64</v>
      </c>
      <c r="C389" s="20" t="s">
        <v>73</v>
      </c>
      <c r="D389" s="20" t="s">
        <v>76</v>
      </c>
      <c r="E389" s="20" t="s">
        <v>1502</v>
      </c>
      <c r="F389" s="21" t="s">
        <v>1503</v>
      </c>
      <c r="G389" s="20" t="s">
        <v>279</v>
      </c>
      <c r="H389" s="20" t="s">
        <v>606</v>
      </c>
      <c r="I389" s="23">
        <f t="shared" si="38"/>
        <v>9</v>
      </c>
      <c r="J389" s="23">
        <v>9</v>
      </c>
      <c r="K389" s="20"/>
      <c r="L389" s="20" t="s">
        <v>145</v>
      </c>
      <c r="M389" s="20">
        <v>320</v>
      </c>
      <c r="N389" s="20">
        <v>790</v>
      </c>
      <c r="O389" s="20">
        <v>12</v>
      </c>
      <c r="P389" s="20">
        <v>23</v>
      </c>
      <c r="Q389" s="21" t="s">
        <v>1504</v>
      </c>
      <c r="R389" s="20" t="s">
        <v>282</v>
      </c>
      <c r="S389" s="20" t="s">
        <v>148</v>
      </c>
      <c r="T389" s="20" t="s">
        <v>608</v>
      </c>
      <c r="U389" s="20"/>
    </row>
    <row r="390" s="3" customFormat="1" ht="88" customHeight="1" spans="1:21">
      <c r="A390" s="20">
        <f t="shared" si="44"/>
        <v>385</v>
      </c>
      <c r="B390" s="20" t="s">
        <v>64</v>
      </c>
      <c r="C390" s="20" t="s">
        <v>73</v>
      </c>
      <c r="D390" s="20" t="s">
        <v>76</v>
      </c>
      <c r="E390" s="20" t="s">
        <v>1505</v>
      </c>
      <c r="F390" s="21" t="s">
        <v>1506</v>
      </c>
      <c r="G390" s="20" t="s">
        <v>279</v>
      </c>
      <c r="H390" s="20" t="s">
        <v>1029</v>
      </c>
      <c r="I390" s="23">
        <f t="shared" si="38"/>
        <v>18</v>
      </c>
      <c r="J390" s="23">
        <v>18</v>
      </c>
      <c r="K390" s="20"/>
      <c r="L390" s="20" t="s">
        <v>145</v>
      </c>
      <c r="M390" s="20">
        <v>153</v>
      </c>
      <c r="N390" s="20">
        <v>366</v>
      </c>
      <c r="O390" s="20">
        <v>23</v>
      </c>
      <c r="P390" s="20">
        <v>61</v>
      </c>
      <c r="Q390" s="21" t="s">
        <v>1507</v>
      </c>
      <c r="R390" s="20" t="s">
        <v>282</v>
      </c>
      <c r="S390" s="20" t="s">
        <v>148</v>
      </c>
      <c r="T390" s="20" t="s">
        <v>608</v>
      </c>
      <c r="U390" s="20"/>
    </row>
    <row r="391" s="3" customFormat="1" ht="160.3" customHeight="1" spans="1:21">
      <c r="A391" s="20">
        <f t="shared" si="44"/>
        <v>386</v>
      </c>
      <c r="B391" s="20" t="s">
        <v>64</v>
      </c>
      <c r="C391" s="20" t="s">
        <v>73</v>
      </c>
      <c r="D391" s="20" t="s">
        <v>77</v>
      </c>
      <c r="E391" s="20" t="s">
        <v>1508</v>
      </c>
      <c r="F391" s="21" t="s">
        <v>1509</v>
      </c>
      <c r="G391" s="20" t="s">
        <v>143</v>
      </c>
      <c r="H391" s="20" t="s">
        <v>1510</v>
      </c>
      <c r="I391" s="23">
        <f t="shared" ref="I391:I454" si="45">J391+K391</f>
        <v>72.18</v>
      </c>
      <c r="J391" s="23">
        <v>72.18</v>
      </c>
      <c r="K391" s="20"/>
      <c r="L391" s="20" t="s">
        <v>145</v>
      </c>
      <c r="M391" s="20">
        <v>152</v>
      </c>
      <c r="N391" s="20">
        <v>412</v>
      </c>
      <c r="O391" s="20">
        <v>3</v>
      </c>
      <c r="P391" s="20">
        <v>3</v>
      </c>
      <c r="Q391" s="21" t="s">
        <v>1511</v>
      </c>
      <c r="R391" s="20" t="s">
        <v>147</v>
      </c>
      <c r="S391" s="20" t="s">
        <v>148</v>
      </c>
      <c r="T391" s="20" t="s">
        <v>149</v>
      </c>
      <c r="U391" s="20"/>
    </row>
    <row r="392" s="3" customFormat="1" ht="117" customHeight="1" spans="1:21">
      <c r="A392" s="20">
        <f t="shared" si="44"/>
        <v>387</v>
      </c>
      <c r="B392" s="20" t="s">
        <v>64</v>
      </c>
      <c r="C392" s="20" t="s">
        <v>73</v>
      </c>
      <c r="D392" s="20" t="s">
        <v>77</v>
      </c>
      <c r="E392" s="20" t="s">
        <v>1512</v>
      </c>
      <c r="F392" s="21" t="s">
        <v>1513</v>
      </c>
      <c r="G392" s="20" t="s">
        <v>556</v>
      </c>
      <c r="H392" s="20" t="s">
        <v>1393</v>
      </c>
      <c r="I392" s="23">
        <f t="shared" si="45"/>
        <v>50</v>
      </c>
      <c r="J392" s="23">
        <v>50</v>
      </c>
      <c r="K392" s="20"/>
      <c r="L392" s="20" t="s">
        <v>145</v>
      </c>
      <c r="M392" s="20">
        <v>80</v>
      </c>
      <c r="N392" s="20">
        <v>153</v>
      </c>
      <c r="O392" s="20">
        <v>4</v>
      </c>
      <c r="P392" s="20">
        <v>6</v>
      </c>
      <c r="Q392" s="21" t="s">
        <v>1514</v>
      </c>
      <c r="R392" s="20" t="s">
        <v>558</v>
      </c>
      <c r="S392" s="20" t="s">
        <v>148</v>
      </c>
      <c r="T392" s="20" t="s">
        <v>387</v>
      </c>
      <c r="U392" s="20"/>
    </row>
    <row r="393" s="3" customFormat="1" ht="99" customHeight="1" spans="1:21">
      <c r="A393" s="20">
        <f t="shared" si="44"/>
        <v>388</v>
      </c>
      <c r="B393" s="20" t="s">
        <v>64</v>
      </c>
      <c r="C393" s="20" t="s">
        <v>73</v>
      </c>
      <c r="D393" s="20" t="s">
        <v>77</v>
      </c>
      <c r="E393" s="20" t="s">
        <v>1515</v>
      </c>
      <c r="F393" s="21" t="s">
        <v>1516</v>
      </c>
      <c r="G393" s="20" t="s">
        <v>556</v>
      </c>
      <c r="H393" s="20" t="s">
        <v>562</v>
      </c>
      <c r="I393" s="23">
        <f t="shared" si="45"/>
        <v>115</v>
      </c>
      <c r="J393" s="23">
        <v>115</v>
      </c>
      <c r="K393" s="20"/>
      <c r="L393" s="20" t="s">
        <v>145</v>
      </c>
      <c r="M393" s="20">
        <v>316</v>
      </c>
      <c r="N393" s="20">
        <v>827</v>
      </c>
      <c r="O393" s="20">
        <v>18</v>
      </c>
      <c r="P393" s="20">
        <v>39</v>
      </c>
      <c r="Q393" s="21" t="s">
        <v>1517</v>
      </c>
      <c r="R393" s="20" t="s">
        <v>558</v>
      </c>
      <c r="S393" s="20" t="s">
        <v>148</v>
      </c>
      <c r="T393" s="20" t="s">
        <v>387</v>
      </c>
      <c r="U393" s="20"/>
    </row>
    <row r="394" s="7" customFormat="1" ht="107" customHeight="1" spans="1:21">
      <c r="A394" s="20">
        <f t="shared" si="44"/>
        <v>389</v>
      </c>
      <c r="B394" s="20" t="s">
        <v>64</v>
      </c>
      <c r="C394" s="20" t="s">
        <v>73</v>
      </c>
      <c r="D394" s="20" t="s">
        <v>77</v>
      </c>
      <c r="E394" s="20" t="s">
        <v>1518</v>
      </c>
      <c r="F394" s="21" t="s">
        <v>1519</v>
      </c>
      <c r="G394" s="20" t="s">
        <v>152</v>
      </c>
      <c r="H394" s="20" t="s">
        <v>318</v>
      </c>
      <c r="I394" s="23">
        <f t="shared" si="45"/>
        <v>65</v>
      </c>
      <c r="J394" s="23">
        <v>65</v>
      </c>
      <c r="K394" s="20"/>
      <c r="L394" s="20" t="s">
        <v>145</v>
      </c>
      <c r="M394" s="20">
        <v>110</v>
      </c>
      <c r="N394" s="20">
        <v>290</v>
      </c>
      <c r="O394" s="20">
        <v>1</v>
      </c>
      <c r="P394" s="20">
        <v>2</v>
      </c>
      <c r="Q394" s="21" t="s">
        <v>1520</v>
      </c>
      <c r="R394" s="20" t="s">
        <v>155</v>
      </c>
      <c r="S394" s="20" t="s">
        <v>148</v>
      </c>
      <c r="T394" s="20" t="s">
        <v>320</v>
      </c>
      <c r="U394" s="20"/>
    </row>
    <row r="395" s="7" customFormat="1" ht="99" customHeight="1" spans="1:21">
      <c r="A395" s="20">
        <f t="shared" si="44"/>
        <v>390</v>
      </c>
      <c r="B395" s="20" t="s">
        <v>64</v>
      </c>
      <c r="C395" s="20" t="s">
        <v>73</v>
      </c>
      <c r="D395" s="20" t="s">
        <v>77</v>
      </c>
      <c r="E395" s="20" t="s">
        <v>1521</v>
      </c>
      <c r="F395" s="21" t="s">
        <v>1522</v>
      </c>
      <c r="G395" s="20" t="s">
        <v>152</v>
      </c>
      <c r="H395" s="20" t="s">
        <v>318</v>
      </c>
      <c r="I395" s="23">
        <f t="shared" si="45"/>
        <v>75</v>
      </c>
      <c r="J395" s="23">
        <v>75</v>
      </c>
      <c r="K395" s="20"/>
      <c r="L395" s="20" t="s">
        <v>145</v>
      </c>
      <c r="M395" s="20">
        <v>63</v>
      </c>
      <c r="N395" s="20">
        <v>176</v>
      </c>
      <c r="O395" s="20">
        <v>1</v>
      </c>
      <c r="P395" s="20">
        <v>1</v>
      </c>
      <c r="Q395" s="21" t="s">
        <v>1523</v>
      </c>
      <c r="R395" s="20" t="s">
        <v>155</v>
      </c>
      <c r="S395" s="20" t="s">
        <v>148</v>
      </c>
      <c r="T395" s="20" t="s">
        <v>320</v>
      </c>
      <c r="U395" s="20"/>
    </row>
    <row r="396" s="7" customFormat="1" ht="145" customHeight="1" spans="1:21">
      <c r="A396" s="20">
        <f t="shared" si="44"/>
        <v>391</v>
      </c>
      <c r="B396" s="20" t="s">
        <v>64</v>
      </c>
      <c r="C396" s="20" t="s">
        <v>73</v>
      </c>
      <c r="D396" s="20" t="s">
        <v>77</v>
      </c>
      <c r="E396" s="20" t="s">
        <v>1524</v>
      </c>
      <c r="F396" s="21" t="s">
        <v>1525</v>
      </c>
      <c r="G396" s="20" t="s">
        <v>198</v>
      </c>
      <c r="H396" s="20" t="s">
        <v>199</v>
      </c>
      <c r="I396" s="23">
        <f t="shared" si="45"/>
        <v>54.37</v>
      </c>
      <c r="J396" s="23">
        <v>54.37</v>
      </c>
      <c r="K396" s="28"/>
      <c r="L396" s="20" t="s">
        <v>145</v>
      </c>
      <c r="M396" s="20">
        <v>530</v>
      </c>
      <c r="N396" s="20">
        <v>1419</v>
      </c>
      <c r="O396" s="20">
        <v>6</v>
      </c>
      <c r="P396" s="20">
        <v>15</v>
      </c>
      <c r="Q396" s="21" t="s">
        <v>1526</v>
      </c>
      <c r="R396" s="20" t="s">
        <v>201</v>
      </c>
      <c r="S396" s="20" t="s">
        <v>148</v>
      </c>
      <c r="T396" s="20" t="s">
        <v>202</v>
      </c>
      <c r="U396" s="28"/>
    </row>
    <row r="397" s="7" customFormat="1" ht="168" customHeight="1" spans="1:21">
      <c r="A397" s="20">
        <f t="shared" ref="A397:A406" si="46">ROW()-5</f>
        <v>392</v>
      </c>
      <c r="B397" s="20" t="s">
        <v>64</v>
      </c>
      <c r="C397" s="20" t="s">
        <v>73</v>
      </c>
      <c r="D397" s="20" t="s">
        <v>77</v>
      </c>
      <c r="E397" s="20" t="s">
        <v>1527</v>
      </c>
      <c r="F397" s="21" t="s">
        <v>1528</v>
      </c>
      <c r="G397" s="20" t="s">
        <v>198</v>
      </c>
      <c r="H397" s="20" t="s">
        <v>199</v>
      </c>
      <c r="I397" s="23">
        <f t="shared" si="45"/>
        <v>55</v>
      </c>
      <c r="J397" s="23">
        <v>55</v>
      </c>
      <c r="K397" s="28"/>
      <c r="L397" s="20" t="s">
        <v>145</v>
      </c>
      <c r="M397" s="20">
        <v>530</v>
      </c>
      <c r="N397" s="20">
        <v>1419</v>
      </c>
      <c r="O397" s="20">
        <v>6</v>
      </c>
      <c r="P397" s="20">
        <v>15</v>
      </c>
      <c r="Q397" s="21" t="s">
        <v>1526</v>
      </c>
      <c r="R397" s="20" t="s">
        <v>201</v>
      </c>
      <c r="S397" s="20" t="s">
        <v>148</v>
      </c>
      <c r="T397" s="20" t="s">
        <v>202</v>
      </c>
      <c r="U397" s="28"/>
    </row>
    <row r="398" s="7" customFormat="1" ht="88" customHeight="1" spans="1:21">
      <c r="A398" s="20">
        <f t="shared" si="46"/>
        <v>393</v>
      </c>
      <c r="B398" s="20" t="s">
        <v>64</v>
      </c>
      <c r="C398" s="20" t="s">
        <v>73</v>
      </c>
      <c r="D398" s="20" t="s">
        <v>77</v>
      </c>
      <c r="E398" s="20" t="s">
        <v>1529</v>
      </c>
      <c r="F398" s="21" t="s">
        <v>1530</v>
      </c>
      <c r="G398" s="20" t="s">
        <v>198</v>
      </c>
      <c r="H398" s="20" t="s">
        <v>199</v>
      </c>
      <c r="I398" s="23">
        <f t="shared" si="45"/>
        <v>57.5</v>
      </c>
      <c r="J398" s="23">
        <v>57.5</v>
      </c>
      <c r="K398" s="28"/>
      <c r="L398" s="20" t="s">
        <v>145</v>
      </c>
      <c r="M398" s="20">
        <v>530</v>
      </c>
      <c r="N398" s="20">
        <v>1419</v>
      </c>
      <c r="O398" s="20">
        <v>6</v>
      </c>
      <c r="P398" s="20">
        <v>15</v>
      </c>
      <c r="Q398" s="21" t="s">
        <v>1526</v>
      </c>
      <c r="R398" s="20" t="s">
        <v>201</v>
      </c>
      <c r="S398" s="20" t="s">
        <v>148</v>
      </c>
      <c r="T398" s="20" t="s">
        <v>202</v>
      </c>
      <c r="U398" s="28"/>
    </row>
    <row r="399" s="7" customFormat="1" ht="108" customHeight="1" spans="1:21">
      <c r="A399" s="20">
        <f t="shared" si="46"/>
        <v>394</v>
      </c>
      <c r="B399" s="20" t="s">
        <v>64</v>
      </c>
      <c r="C399" s="20" t="s">
        <v>73</v>
      </c>
      <c r="D399" s="20" t="s">
        <v>77</v>
      </c>
      <c r="E399" s="20" t="s">
        <v>1531</v>
      </c>
      <c r="F399" s="21" t="s">
        <v>1532</v>
      </c>
      <c r="G399" s="20" t="s">
        <v>198</v>
      </c>
      <c r="H399" s="20" t="s">
        <v>199</v>
      </c>
      <c r="I399" s="23">
        <f t="shared" si="45"/>
        <v>57.2</v>
      </c>
      <c r="J399" s="23">
        <v>57.2</v>
      </c>
      <c r="K399" s="28"/>
      <c r="L399" s="20" t="s">
        <v>145</v>
      </c>
      <c r="M399" s="20">
        <v>530</v>
      </c>
      <c r="N399" s="20">
        <v>1419</v>
      </c>
      <c r="O399" s="20">
        <v>6</v>
      </c>
      <c r="P399" s="20">
        <v>15</v>
      </c>
      <c r="Q399" s="21" t="s">
        <v>1526</v>
      </c>
      <c r="R399" s="20" t="s">
        <v>201</v>
      </c>
      <c r="S399" s="20" t="s">
        <v>148</v>
      </c>
      <c r="T399" s="20" t="s">
        <v>202</v>
      </c>
      <c r="U399" s="28"/>
    </row>
    <row r="400" s="7" customFormat="1" ht="123" customHeight="1" spans="1:21">
      <c r="A400" s="20">
        <f t="shared" si="46"/>
        <v>395</v>
      </c>
      <c r="B400" s="20" t="s">
        <v>64</v>
      </c>
      <c r="C400" s="20" t="s">
        <v>73</v>
      </c>
      <c r="D400" s="20" t="s">
        <v>77</v>
      </c>
      <c r="E400" s="20" t="s">
        <v>1533</v>
      </c>
      <c r="F400" s="21" t="s">
        <v>1534</v>
      </c>
      <c r="G400" s="20" t="s">
        <v>220</v>
      </c>
      <c r="H400" s="20" t="s">
        <v>227</v>
      </c>
      <c r="I400" s="23">
        <f t="shared" si="45"/>
        <v>45</v>
      </c>
      <c r="J400" s="23">
        <v>45</v>
      </c>
      <c r="K400" s="20">
        <v>0</v>
      </c>
      <c r="L400" s="20" t="s">
        <v>145</v>
      </c>
      <c r="M400" s="20">
        <v>437</v>
      </c>
      <c r="N400" s="20">
        <v>1034</v>
      </c>
      <c r="O400" s="20">
        <v>15</v>
      </c>
      <c r="P400" s="20">
        <v>18</v>
      </c>
      <c r="Q400" s="21" t="s">
        <v>1535</v>
      </c>
      <c r="R400" s="20" t="s">
        <v>223</v>
      </c>
      <c r="S400" s="20" t="s">
        <v>148</v>
      </c>
      <c r="T400" s="20" t="s">
        <v>585</v>
      </c>
      <c r="U400" s="20"/>
    </row>
    <row r="401" s="7" customFormat="1" ht="91" customHeight="1" spans="1:21">
      <c r="A401" s="20">
        <f t="shared" si="46"/>
        <v>396</v>
      </c>
      <c r="B401" s="20" t="s">
        <v>64</v>
      </c>
      <c r="C401" s="20" t="s">
        <v>73</v>
      </c>
      <c r="D401" s="20" t="s">
        <v>77</v>
      </c>
      <c r="E401" s="20" t="s">
        <v>1536</v>
      </c>
      <c r="F401" s="21" t="s">
        <v>1537</v>
      </c>
      <c r="G401" s="20" t="s">
        <v>164</v>
      </c>
      <c r="H401" s="20" t="s">
        <v>1538</v>
      </c>
      <c r="I401" s="23">
        <f t="shared" si="45"/>
        <v>25</v>
      </c>
      <c r="J401" s="29">
        <v>25</v>
      </c>
      <c r="K401" s="28"/>
      <c r="L401" s="28" t="s">
        <v>145</v>
      </c>
      <c r="M401" s="28">
        <v>38</v>
      </c>
      <c r="N401" s="28">
        <v>79</v>
      </c>
      <c r="O401" s="28">
        <v>3</v>
      </c>
      <c r="P401" s="28">
        <v>6</v>
      </c>
      <c r="Q401" s="21" t="s">
        <v>1539</v>
      </c>
      <c r="R401" s="20" t="s">
        <v>167</v>
      </c>
      <c r="S401" s="20" t="s">
        <v>148</v>
      </c>
      <c r="T401" s="20" t="s">
        <v>168</v>
      </c>
      <c r="U401" s="20"/>
    </row>
    <row r="402" s="7" customFormat="1" ht="86" customHeight="1" spans="1:21">
      <c r="A402" s="20">
        <f t="shared" si="46"/>
        <v>397</v>
      </c>
      <c r="B402" s="20" t="s">
        <v>64</v>
      </c>
      <c r="C402" s="20" t="s">
        <v>73</v>
      </c>
      <c r="D402" s="20" t="s">
        <v>77</v>
      </c>
      <c r="E402" s="20" t="s">
        <v>1540</v>
      </c>
      <c r="F402" s="21" t="s">
        <v>1541</v>
      </c>
      <c r="G402" s="20" t="s">
        <v>164</v>
      </c>
      <c r="H402" s="20" t="s">
        <v>1538</v>
      </c>
      <c r="I402" s="23">
        <f t="shared" si="45"/>
        <v>70</v>
      </c>
      <c r="J402" s="29">
        <v>70</v>
      </c>
      <c r="K402" s="28"/>
      <c r="L402" s="28" t="s">
        <v>145</v>
      </c>
      <c r="M402" s="28">
        <v>70</v>
      </c>
      <c r="N402" s="28">
        <v>192</v>
      </c>
      <c r="O402" s="28">
        <v>1</v>
      </c>
      <c r="P402" s="28">
        <v>5</v>
      </c>
      <c r="Q402" s="21" t="s">
        <v>1542</v>
      </c>
      <c r="R402" s="20" t="s">
        <v>167</v>
      </c>
      <c r="S402" s="20" t="s">
        <v>148</v>
      </c>
      <c r="T402" s="20" t="s">
        <v>168</v>
      </c>
      <c r="U402" s="20"/>
    </row>
    <row r="403" s="7" customFormat="1" ht="87" customHeight="1" spans="1:21">
      <c r="A403" s="20">
        <f t="shared" si="46"/>
        <v>398</v>
      </c>
      <c r="B403" s="20" t="s">
        <v>64</v>
      </c>
      <c r="C403" s="20" t="s">
        <v>73</v>
      </c>
      <c r="D403" s="20" t="s">
        <v>77</v>
      </c>
      <c r="E403" s="20" t="s">
        <v>1543</v>
      </c>
      <c r="F403" s="21" t="s">
        <v>1544</v>
      </c>
      <c r="G403" s="20" t="s">
        <v>164</v>
      </c>
      <c r="H403" s="20" t="s">
        <v>1466</v>
      </c>
      <c r="I403" s="23">
        <f t="shared" si="45"/>
        <v>5</v>
      </c>
      <c r="J403" s="29">
        <v>5</v>
      </c>
      <c r="K403" s="28"/>
      <c r="L403" s="28" t="s">
        <v>145</v>
      </c>
      <c r="M403" s="28">
        <v>44</v>
      </c>
      <c r="N403" s="28">
        <v>120</v>
      </c>
      <c r="O403" s="28">
        <v>0</v>
      </c>
      <c r="P403" s="28">
        <v>0</v>
      </c>
      <c r="Q403" s="21" t="s">
        <v>1545</v>
      </c>
      <c r="R403" s="20" t="s">
        <v>167</v>
      </c>
      <c r="S403" s="20" t="s">
        <v>148</v>
      </c>
      <c r="T403" s="20" t="s">
        <v>168</v>
      </c>
      <c r="U403" s="20"/>
    </row>
    <row r="404" s="7" customFormat="1" ht="108" customHeight="1" spans="1:21">
      <c r="A404" s="20">
        <f t="shared" si="46"/>
        <v>399</v>
      </c>
      <c r="B404" s="20" t="s">
        <v>64</v>
      </c>
      <c r="C404" s="20" t="s">
        <v>73</v>
      </c>
      <c r="D404" s="20" t="s">
        <v>77</v>
      </c>
      <c r="E404" s="20" t="s">
        <v>1546</v>
      </c>
      <c r="F404" s="21" t="s">
        <v>1547</v>
      </c>
      <c r="G404" s="20" t="s">
        <v>164</v>
      </c>
      <c r="H404" s="20" t="s">
        <v>328</v>
      </c>
      <c r="I404" s="23">
        <f t="shared" si="45"/>
        <v>66</v>
      </c>
      <c r="J404" s="29">
        <v>66</v>
      </c>
      <c r="K404" s="28"/>
      <c r="L404" s="28" t="s">
        <v>145</v>
      </c>
      <c r="M404" s="28">
        <v>86</v>
      </c>
      <c r="N404" s="28">
        <v>211</v>
      </c>
      <c r="O404" s="28">
        <v>4</v>
      </c>
      <c r="P404" s="28">
        <v>9</v>
      </c>
      <c r="Q404" s="21" t="s">
        <v>1548</v>
      </c>
      <c r="R404" s="20" t="s">
        <v>167</v>
      </c>
      <c r="S404" s="20" t="s">
        <v>148</v>
      </c>
      <c r="T404" s="20" t="s">
        <v>168</v>
      </c>
      <c r="U404" s="20"/>
    </row>
    <row r="405" s="7" customFormat="1" ht="110" customHeight="1" spans="1:21">
      <c r="A405" s="20">
        <f t="shared" si="46"/>
        <v>400</v>
      </c>
      <c r="B405" s="20" t="s">
        <v>64</v>
      </c>
      <c r="C405" s="20" t="s">
        <v>73</v>
      </c>
      <c r="D405" s="20" t="s">
        <v>77</v>
      </c>
      <c r="E405" s="20" t="s">
        <v>1549</v>
      </c>
      <c r="F405" s="21" t="s">
        <v>1550</v>
      </c>
      <c r="G405" s="20" t="s">
        <v>343</v>
      </c>
      <c r="H405" s="20" t="s">
        <v>344</v>
      </c>
      <c r="I405" s="23">
        <f t="shared" si="45"/>
        <v>118.58</v>
      </c>
      <c r="J405" s="29">
        <v>118.58</v>
      </c>
      <c r="K405" s="28"/>
      <c r="L405" s="28" t="s">
        <v>145</v>
      </c>
      <c r="M405" s="28">
        <v>487</v>
      </c>
      <c r="N405" s="28">
        <v>1467</v>
      </c>
      <c r="O405" s="28">
        <v>10</v>
      </c>
      <c r="P405" s="28">
        <v>22</v>
      </c>
      <c r="Q405" s="21" t="s">
        <v>1551</v>
      </c>
      <c r="R405" s="20" t="s">
        <v>346</v>
      </c>
      <c r="S405" s="20" t="s">
        <v>148</v>
      </c>
      <c r="T405" s="20" t="s">
        <v>347</v>
      </c>
      <c r="U405" s="28"/>
    </row>
    <row r="406" s="7" customFormat="1" ht="83" customHeight="1" spans="1:21">
      <c r="A406" s="20">
        <f t="shared" si="46"/>
        <v>401</v>
      </c>
      <c r="B406" s="20" t="s">
        <v>64</v>
      </c>
      <c r="C406" s="20" t="s">
        <v>73</v>
      </c>
      <c r="D406" s="20" t="s">
        <v>77</v>
      </c>
      <c r="E406" s="20" t="s">
        <v>1552</v>
      </c>
      <c r="F406" s="21" t="s">
        <v>1553</v>
      </c>
      <c r="G406" s="20" t="s">
        <v>171</v>
      </c>
      <c r="H406" s="20" t="s">
        <v>816</v>
      </c>
      <c r="I406" s="23">
        <f t="shared" si="45"/>
        <v>20</v>
      </c>
      <c r="J406" s="23">
        <v>20</v>
      </c>
      <c r="K406" s="20"/>
      <c r="L406" s="20" t="s">
        <v>145</v>
      </c>
      <c r="M406" s="20">
        <v>43</v>
      </c>
      <c r="N406" s="20">
        <v>117</v>
      </c>
      <c r="O406" s="20">
        <v>6</v>
      </c>
      <c r="P406" s="20">
        <v>16</v>
      </c>
      <c r="Q406" s="21" t="s">
        <v>1554</v>
      </c>
      <c r="R406" s="20" t="s">
        <v>174</v>
      </c>
      <c r="S406" s="20" t="s">
        <v>148</v>
      </c>
      <c r="T406" s="20" t="s">
        <v>256</v>
      </c>
      <c r="U406" s="28"/>
    </row>
    <row r="407" s="7" customFormat="1" ht="83" customHeight="1" spans="1:21">
      <c r="A407" s="20">
        <f t="shared" ref="A407:A416" si="47">ROW()-5</f>
        <v>402</v>
      </c>
      <c r="B407" s="20" t="s">
        <v>64</v>
      </c>
      <c r="C407" s="20" t="s">
        <v>73</v>
      </c>
      <c r="D407" s="20" t="s">
        <v>77</v>
      </c>
      <c r="E407" s="20" t="s">
        <v>1555</v>
      </c>
      <c r="F407" s="21" t="s">
        <v>1556</v>
      </c>
      <c r="G407" s="20" t="s">
        <v>171</v>
      </c>
      <c r="H407" s="20" t="s">
        <v>1557</v>
      </c>
      <c r="I407" s="23">
        <f t="shared" si="45"/>
        <v>42</v>
      </c>
      <c r="J407" s="23">
        <v>42</v>
      </c>
      <c r="K407" s="20"/>
      <c r="L407" s="20" t="s">
        <v>145</v>
      </c>
      <c r="M407" s="20">
        <v>8</v>
      </c>
      <c r="N407" s="20">
        <v>15</v>
      </c>
      <c r="O407" s="20">
        <v>1</v>
      </c>
      <c r="P407" s="20">
        <v>2</v>
      </c>
      <c r="Q407" s="21" t="s">
        <v>1558</v>
      </c>
      <c r="R407" s="20" t="s">
        <v>174</v>
      </c>
      <c r="S407" s="20" t="s">
        <v>148</v>
      </c>
      <c r="T407" s="20" t="s">
        <v>256</v>
      </c>
      <c r="U407" s="28"/>
    </row>
    <row r="408" s="7" customFormat="1" ht="121" customHeight="1" spans="1:21">
      <c r="A408" s="20">
        <f t="shared" si="47"/>
        <v>403</v>
      </c>
      <c r="B408" s="20" t="s">
        <v>64</v>
      </c>
      <c r="C408" s="20" t="s">
        <v>73</v>
      </c>
      <c r="D408" s="20" t="s">
        <v>77</v>
      </c>
      <c r="E408" s="20" t="s">
        <v>1559</v>
      </c>
      <c r="F408" s="21" t="s">
        <v>1560</v>
      </c>
      <c r="G408" s="20" t="s">
        <v>370</v>
      </c>
      <c r="H408" s="20" t="s">
        <v>371</v>
      </c>
      <c r="I408" s="23">
        <f t="shared" si="45"/>
        <v>79</v>
      </c>
      <c r="J408" s="23">
        <v>79</v>
      </c>
      <c r="K408" s="20"/>
      <c r="L408" s="20" t="s">
        <v>145</v>
      </c>
      <c r="M408" s="20">
        <v>617</v>
      </c>
      <c r="N408" s="20">
        <v>1498</v>
      </c>
      <c r="O408" s="20">
        <v>52</v>
      </c>
      <c r="P408" s="20">
        <f>82+3</f>
        <v>85</v>
      </c>
      <c r="Q408" s="21" t="s">
        <v>1561</v>
      </c>
      <c r="R408" s="20" t="s">
        <v>373</v>
      </c>
      <c r="S408" s="20" t="s">
        <v>148</v>
      </c>
      <c r="T408" s="20" t="s">
        <v>283</v>
      </c>
      <c r="U408" s="20"/>
    </row>
    <row r="409" s="7" customFormat="1" ht="95" customHeight="1" spans="1:21">
      <c r="A409" s="20">
        <f t="shared" si="47"/>
        <v>404</v>
      </c>
      <c r="B409" s="20" t="s">
        <v>64</v>
      </c>
      <c r="C409" s="20" t="s">
        <v>73</v>
      </c>
      <c r="D409" s="20" t="s">
        <v>77</v>
      </c>
      <c r="E409" s="20" t="s">
        <v>1562</v>
      </c>
      <c r="F409" s="21" t="s">
        <v>1563</v>
      </c>
      <c r="G409" s="20" t="s">
        <v>279</v>
      </c>
      <c r="H409" s="20" t="s">
        <v>390</v>
      </c>
      <c r="I409" s="23">
        <f t="shared" si="45"/>
        <v>50</v>
      </c>
      <c r="J409" s="23">
        <v>50</v>
      </c>
      <c r="K409" s="20"/>
      <c r="L409" s="20" t="s">
        <v>145</v>
      </c>
      <c r="M409" s="20">
        <v>563</v>
      </c>
      <c r="N409" s="20">
        <v>1291</v>
      </c>
      <c r="O409" s="20">
        <v>7</v>
      </c>
      <c r="P409" s="20">
        <v>10</v>
      </c>
      <c r="Q409" s="21" t="s">
        <v>1564</v>
      </c>
      <c r="R409" s="20" t="s">
        <v>282</v>
      </c>
      <c r="S409" s="20" t="s">
        <v>148</v>
      </c>
      <c r="T409" s="20" t="s">
        <v>392</v>
      </c>
      <c r="U409" s="20"/>
    </row>
    <row r="410" s="7" customFormat="1" ht="87" customHeight="1" spans="1:21">
      <c r="A410" s="20">
        <f t="shared" si="47"/>
        <v>405</v>
      </c>
      <c r="B410" s="20" t="s">
        <v>64</v>
      </c>
      <c r="C410" s="20" t="s">
        <v>73</v>
      </c>
      <c r="D410" s="20" t="s">
        <v>77</v>
      </c>
      <c r="E410" s="20" t="s">
        <v>1565</v>
      </c>
      <c r="F410" s="21" t="s">
        <v>1566</v>
      </c>
      <c r="G410" s="20" t="s">
        <v>279</v>
      </c>
      <c r="H410" s="20" t="s">
        <v>1567</v>
      </c>
      <c r="I410" s="23">
        <f t="shared" si="45"/>
        <v>50</v>
      </c>
      <c r="J410" s="23">
        <v>50</v>
      </c>
      <c r="K410" s="20"/>
      <c r="L410" s="20" t="s">
        <v>145</v>
      </c>
      <c r="M410" s="28">
        <v>224</v>
      </c>
      <c r="N410" s="28">
        <v>614</v>
      </c>
      <c r="O410" s="28">
        <v>24</v>
      </c>
      <c r="P410" s="28">
        <v>56</v>
      </c>
      <c r="Q410" s="21" t="s">
        <v>1568</v>
      </c>
      <c r="R410" s="20" t="s">
        <v>282</v>
      </c>
      <c r="S410" s="20" t="s">
        <v>148</v>
      </c>
      <c r="T410" s="20" t="s">
        <v>608</v>
      </c>
      <c r="U410" s="20"/>
    </row>
    <row r="411" s="7" customFormat="1" ht="90" customHeight="1" spans="1:21">
      <c r="A411" s="20">
        <f t="shared" si="47"/>
        <v>406</v>
      </c>
      <c r="B411" s="20" t="s">
        <v>64</v>
      </c>
      <c r="C411" s="22" t="s">
        <v>73</v>
      </c>
      <c r="D411" s="22" t="s">
        <v>77</v>
      </c>
      <c r="E411" s="20" t="s">
        <v>1569</v>
      </c>
      <c r="F411" s="21" t="s">
        <v>1570</v>
      </c>
      <c r="G411" s="20" t="s">
        <v>185</v>
      </c>
      <c r="H411" s="20" t="s">
        <v>953</v>
      </c>
      <c r="I411" s="23">
        <f t="shared" si="45"/>
        <v>35</v>
      </c>
      <c r="J411" s="29">
        <v>35</v>
      </c>
      <c r="K411" s="28"/>
      <c r="L411" s="28" t="s">
        <v>145</v>
      </c>
      <c r="M411" s="20">
        <v>342</v>
      </c>
      <c r="N411" s="28">
        <v>845</v>
      </c>
      <c r="O411" s="28">
        <v>17</v>
      </c>
      <c r="P411" s="28">
        <v>26</v>
      </c>
      <c r="Q411" s="21" t="s">
        <v>1571</v>
      </c>
      <c r="R411" s="20" t="s">
        <v>188</v>
      </c>
      <c r="S411" s="20" t="s">
        <v>148</v>
      </c>
      <c r="T411" s="20" t="s">
        <v>189</v>
      </c>
      <c r="U411" s="28"/>
    </row>
    <row r="412" s="7" customFormat="1" ht="128" customHeight="1" spans="1:21">
      <c r="A412" s="20">
        <f t="shared" si="47"/>
        <v>407</v>
      </c>
      <c r="B412" s="20" t="s">
        <v>64</v>
      </c>
      <c r="C412" s="20" t="s">
        <v>73</v>
      </c>
      <c r="D412" s="20" t="s">
        <v>77</v>
      </c>
      <c r="E412" s="20" t="s">
        <v>1572</v>
      </c>
      <c r="F412" s="21" t="s">
        <v>1573</v>
      </c>
      <c r="G412" s="20" t="s">
        <v>185</v>
      </c>
      <c r="H412" s="20" t="s">
        <v>1077</v>
      </c>
      <c r="I412" s="23">
        <f t="shared" si="45"/>
        <v>60</v>
      </c>
      <c r="J412" s="23">
        <v>60</v>
      </c>
      <c r="K412" s="20"/>
      <c r="L412" s="20" t="s">
        <v>145</v>
      </c>
      <c r="M412" s="20">
        <v>447</v>
      </c>
      <c r="N412" s="20">
        <v>1312</v>
      </c>
      <c r="O412" s="20">
        <v>30</v>
      </c>
      <c r="P412" s="20">
        <v>57</v>
      </c>
      <c r="Q412" s="21" t="s">
        <v>1574</v>
      </c>
      <c r="R412" s="20" t="s">
        <v>188</v>
      </c>
      <c r="S412" s="20" t="s">
        <v>148</v>
      </c>
      <c r="T412" s="20" t="s">
        <v>189</v>
      </c>
      <c r="U412" s="28"/>
    </row>
    <row r="413" s="7" customFormat="1" ht="91" customHeight="1" spans="1:21">
      <c r="A413" s="20">
        <f t="shared" si="47"/>
        <v>408</v>
      </c>
      <c r="B413" s="20" t="s">
        <v>64</v>
      </c>
      <c r="C413" s="20" t="s">
        <v>73</v>
      </c>
      <c r="D413" s="20" t="s">
        <v>77</v>
      </c>
      <c r="E413" s="20" t="s">
        <v>1575</v>
      </c>
      <c r="F413" s="21" t="s">
        <v>1576</v>
      </c>
      <c r="G413" s="20" t="s">
        <v>185</v>
      </c>
      <c r="H413" s="20" t="s">
        <v>458</v>
      </c>
      <c r="I413" s="23">
        <f t="shared" si="45"/>
        <v>60</v>
      </c>
      <c r="J413" s="23">
        <v>60</v>
      </c>
      <c r="K413" s="20"/>
      <c r="L413" s="20" t="s">
        <v>145</v>
      </c>
      <c r="M413" s="20">
        <v>493</v>
      </c>
      <c r="N413" s="20">
        <v>1357</v>
      </c>
      <c r="O413" s="20">
        <v>19</v>
      </c>
      <c r="P413" s="20">
        <v>42</v>
      </c>
      <c r="Q413" s="21" t="s">
        <v>1577</v>
      </c>
      <c r="R413" s="20" t="s">
        <v>188</v>
      </c>
      <c r="S413" s="20" t="s">
        <v>148</v>
      </c>
      <c r="T413" s="20" t="s">
        <v>189</v>
      </c>
      <c r="U413" s="28"/>
    </row>
    <row r="414" s="7" customFormat="1" ht="88" customHeight="1" spans="1:21">
      <c r="A414" s="20">
        <f t="shared" si="47"/>
        <v>409</v>
      </c>
      <c r="B414" s="20" t="s">
        <v>64</v>
      </c>
      <c r="C414" s="22" t="s">
        <v>73</v>
      </c>
      <c r="D414" s="22" t="s">
        <v>77</v>
      </c>
      <c r="E414" s="20" t="s">
        <v>1578</v>
      </c>
      <c r="F414" s="21" t="s">
        <v>1579</v>
      </c>
      <c r="G414" s="20" t="s">
        <v>185</v>
      </c>
      <c r="H414" s="20" t="s">
        <v>1213</v>
      </c>
      <c r="I414" s="23">
        <f t="shared" si="45"/>
        <v>50</v>
      </c>
      <c r="J414" s="29">
        <v>50</v>
      </c>
      <c r="K414" s="28"/>
      <c r="L414" s="28" t="s">
        <v>145</v>
      </c>
      <c r="M414" s="20">
        <v>615</v>
      </c>
      <c r="N414" s="20">
        <v>1575</v>
      </c>
      <c r="O414" s="20">
        <v>32</v>
      </c>
      <c r="P414" s="20">
        <v>50</v>
      </c>
      <c r="Q414" s="21" t="s">
        <v>1580</v>
      </c>
      <c r="R414" s="20" t="s">
        <v>188</v>
      </c>
      <c r="S414" s="20" t="s">
        <v>148</v>
      </c>
      <c r="T414" s="20" t="s">
        <v>189</v>
      </c>
      <c r="U414" s="28"/>
    </row>
    <row r="415" s="7" customFormat="1" ht="120" customHeight="1" spans="1:21">
      <c r="A415" s="20">
        <f t="shared" si="47"/>
        <v>410</v>
      </c>
      <c r="B415" s="20" t="s">
        <v>64</v>
      </c>
      <c r="C415" s="22" t="s">
        <v>73</v>
      </c>
      <c r="D415" s="22" t="s">
        <v>77</v>
      </c>
      <c r="E415" s="20" t="s">
        <v>1581</v>
      </c>
      <c r="F415" s="20" t="s">
        <v>1582</v>
      </c>
      <c r="G415" s="20" t="s">
        <v>185</v>
      </c>
      <c r="H415" s="20" t="s">
        <v>963</v>
      </c>
      <c r="I415" s="23">
        <f t="shared" si="45"/>
        <v>70</v>
      </c>
      <c r="J415" s="29">
        <v>70</v>
      </c>
      <c r="K415" s="28"/>
      <c r="L415" s="20" t="s">
        <v>145</v>
      </c>
      <c r="M415" s="28">
        <v>187</v>
      </c>
      <c r="N415" s="28">
        <v>602</v>
      </c>
      <c r="O415" s="28">
        <v>9</v>
      </c>
      <c r="P415" s="28">
        <v>17</v>
      </c>
      <c r="Q415" s="21" t="s">
        <v>1583</v>
      </c>
      <c r="R415" s="20" t="s">
        <v>188</v>
      </c>
      <c r="S415" s="20" t="s">
        <v>148</v>
      </c>
      <c r="T415" s="20" t="s">
        <v>189</v>
      </c>
      <c r="U415" s="28"/>
    </row>
    <row r="416" s="7" customFormat="1" ht="101" customHeight="1" spans="1:21">
      <c r="A416" s="20">
        <f t="shared" si="47"/>
        <v>411</v>
      </c>
      <c r="B416" s="20" t="s">
        <v>64</v>
      </c>
      <c r="C416" s="20" t="s">
        <v>73</v>
      </c>
      <c r="D416" s="20" t="s">
        <v>77</v>
      </c>
      <c r="E416" s="20" t="s">
        <v>1584</v>
      </c>
      <c r="F416" s="21" t="s">
        <v>1585</v>
      </c>
      <c r="G416" s="20" t="s">
        <v>185</v>
      </c>
      <c r="H416" s="20" t="s">
        <v>497</v>
      </c>
      <c r="I416" s="23">
        <f t="shared" si="45"/>
        <v>6</v>
      </c>
      <c r="J416" s="23">
        <v>6</v>
      </c>
      <c r="K416" s="20"/>
      <c r="L416" s="20" t="s">
        <v>145</v>
      </c>
      <c r="M416" s="20">
        <v>220</v>
      </c>
      <c r="N416" s="28">
        <v>562</v>
      </c>
      <c r="O416" s="20">
        <v>9</v>
      </c>
      <c r="P416" s="28">
        <v>11</v>
      </c>
      <c r="Q416" s="21" t="s">
        <v>1586</v>
      </c>
      <c r="R416" s="20" t="s">
        <v>188</v>
      </c>
      <c r="S416" s="20" t="s">
        <v>148</v>
      </c>
      <c r="T416" s="20" t="s">
        <v>189</v>
      </c>
      <c r="U416" s="28"/>
    </row>
    <row r="417" s="4" customFormat="1" ht="112" customHeight="1" spans="1:21">
      <c r="A417" s="20">
        <f t="shared" ref="A417:A426" si="48">ROW()-5</f>
        <v>412</v>
      </c>
      <c r="B417" s="20" t="s">
        <v>64</v>
      </c>
      <c r="C417" s="20" t="s">
        <v>73</v>
      </c>
      <c r="D417" s="20" t="s">
        <v>77</v>
      </c>
      <c r="E417" s="20" t="s">
        <v>1587</v>
      </c>
      <c r="F417" s="21" t="s">
        <v>1588</v>
      </c>
      <c r="G417" s="20" t="s">
        <v>171</v>
      </c>
      <c r="H417" s="20" t="s">
        <v>1589</v>
      </c>
      <c r="I417" s="23">
        <f t="shared" si="45"/>
        <v>240</v>
      </c>
      <c r="J417" s="23">
        <v>240</v>
      </c>
      <c r="K417" s="28"/>
      <c r="L417" s="28" t="s">
        <v>145</v>
      </c>
      <c r="M417" s="28">
        <v>583</v>
      </c>
      <c r="N417" s="28">
        <v>1738</v>
      </c>
      <c r="O417" s="28">
        <v>6</v>
      </c>
      <c r="P417" s="28">
        <v>6</v>
      </c>
      <c r="Q417" s="21" t="s">
        <v>1590</v>
      </c>
      <c r="R417" s="20" t="s">
        <v>174</v>
      </c>
      <c r="S417" s="20" t="s">
        <v>148</v>
      </c>
      <c r="T417" s="20" t="s">
        <v>347</v>
      </c>
      <c r="U417" s="20"/>
    </row>
    <row r="418" ht="184.7" customHeight="1" spans="1:21">
      <c r="A418" s="20">
        <f t="shared" si="48"/>
        <v>413</v>
      </c>
      <c r="B418" s="22" t="s">
        <v>64</v>
      </c>
      <c r="C418" s="22" t="s">
        <v>73</v>
      </c>
      <c r="D418" s="22" t="s">
        <v>77</v>
      </c>
      <c r="E418" s="22" t="s">
        <v>1591</v>
      </c>
      <c r="F418" s="39" t="s">
        <v>1592</v>
      </c>
      <c r="G418" s="40" t="s">
        <v>143</v>
      </c>
      <c r="H418" s="40" t="s">
        <v>630</v>
      </c>
      <c r="I418" s="23">
        <f t="shared" si="45"/>
        <v>123.5</v>
      </c>
      <c r="J418" s="41">
        <v>123.5</v>
      </c>
      <c r="K418" s="20"/>
      <c r="L418" s="22" t="s">
        <v>145</v>
      </c>
      <c r="M418" s="22">
        <v>556</v>
      </c>
      <c r="N418" s="22">
        <v>1642</v>
      </c>
      <c r="O418" s="22">
        <v>10</v>
      </c>
      <c r="P418" s="22">
        <v>18</v>
      </c>
      <c r="Q418" s="25" t="s">
        <v>1593</v>
      </c>
      <c r="R418" s="20" t="s">
        <v>147</v>
      </c>
      <c r="S418" s="20" t="s">
        <v>148</v>
      </c>
      <c r="T418" s="20" t="s">
        <v>382</v>
      </c>
      <c r="U418" s="20"/>
    </row>
    <row r="419" ht="116" customHeight="1" spans="1:21">
      <c r="A419" s="20">
        <f t="shared" si="48"/>
        <v>414</v>
      </c>
      <c r="B419" s="20" t="s">
        <v>64</v>
      </c>
      <c r="C419" s="20" t="s">
        <v>73</v>
      </c>
      <c r="D419" s="20" t="s">
        <v>77</v>
      </c>
      <c r="E419" s="20" t="s">
        <v>1594</v>
      </c>
      <c r="F419" s="21" t="s">
        <v>1595</v>
      </c>
      <c r="G419" s="20" t="s">
        <v>185</v>
      </c>
      <c r="H419" s="20" t="s">
        <v>977</v>
      </c>
      <c r="I419" s="23">
        <f t="shared" si="45"/>
        <v>100</v>
      </c>
      <c r="J419" s="23">
        <v>100</v>
      </c>
      <c r="K419" s="20"/>
      <c r="L419" s="20" t="s">
        <v>145</v>
      </c>
      <c r="M419" s="20">
        <v>36</v>
      </c>
      <c r="N419" s="20">
        <v>99</v>
      </c>
      <c r="O419" s="20">
        <v>2</v>
      </c>
      <c r="P419" s="20">
        <v>7</v>
      </c>
      <c r="Q419" s="21" t="s">
        <v>1596</v>
      </c>
      <c r="R419" s="20" t="s">
        <v>188</v>
      </c>
      <c r="S419" s="20" t="s">
        <v>148</v>
      </c>
      <c r="T419" s="20" t="s">
        <v>189</v>
      </c>
      <c r="U419" s="20"/>
    </row>
    <row r="420" ht="106" customHeight="1" spans="1:21">
      <c r="A420" s="20">
        <f t="shared" si="48"/>
        <v>415</v>
      </c>
      <c r="B420" s="20" t="s">
        <v>64</v>
      </c>
      <c r="C420" s="20" t="s">
        <v>73</v>
      </c>
      <c r="D420" s="20" t="s">
        <v>77</v>
      </c>
      <c r="E420" s="20" t="s">
        <v>1597</v>
      </c>
      <c r="F420" s="21" t="s">
        <v>1598</v>
      </c>
      <c r="G420" s="20" t="s">
        <v>185</v>
      </c>
      <c r="H420" s="20" t="s">
        <v>501</v>
      </c>
      <c r="I420" s="23">
        <f t="shared" si="45"/>
        <v>70</v>
      </c>
      <c r="J420" s="23">
        <v>70</v>
      </c>
      <c r="K420" s="20"/>
      <c r="L420" s="20" t="s">
        <v>145</v>
      </c>
      <c r="M420" s="20">
        <v>230</v>
      </c>
      <c r="N420" s="20">
        <v>660</v>
      </c>
      <c r="O420" s="20">
        <v>10</v>
      </c>
      <c r="P420" s="20">
        <v>20</v>
      </c>
      <c r="Q420" s="21" t="s">
        <v>1599</v>
      </c>
      <c r="R420" s="20" t="s">
        <v>188</v>
      </c>
      <c r="S420" s="20" t="s">
        <v>148</v>
      </c>
      <c r="T420" s="20" t="s">
        <v>189</v>
      </c>
      <c r="U420" s="20"/>
    </row>
    <row r="421" ht="168" customHeight="1" spans="1:21">
      <c r="A421" s="20">
        <f t="shared" si="48"/>
        <v>416</v>
      </c>
      <c r="B421" s="20" t="s">
        <v>64</v>
      </c>
      <c r="C421" s="20" t="s">
        <v>73</v>
      </c>
      <c r="D421" s="20" t="s">
        <v>77</v>
      </c>
      <c r="E421" s="20" t="s">
        <v>1600</v>
      </c>
      <c r="F421" s="21" t="s">
        <v>1601</v>
      </c>
      <c r="G421" s="20" t="s">
        <v>185</v>
      </c>
      <c r="H421" s="20" t="s">
        <v>290</v>
      </c>
      <c r="I421" s="23">
        <f t="shared" si="45"/>
        <v>30</v>
      </c>
      <c r="J421" s="23">
        <v>30</v>
      </c>
      <c r="K421" s="20"/>
      <c r="L421" s="20" t="s">
        <v>145</v>
      </c>
      <c r="M421" s="20">
        <v>50</v>
      </c>
      <c r="N421" s="20">
        <v>120</v>
      </c>
      <c r="O421" s="20">
        <v>0</v>
      </c>
      <c r="P421" s="20">
        <v>0</v>
      </c>
      <c r="Q421" s="21" t="s">
        <v>1602</v>
      </c>
      <c r="R421" s="20" t="s">
        <v>188</v>
      </c>
      <c r="S421" s="20" t="s">
        <v>148</v>
      </c>
      <c r="T421" s="20" t="s">
        <v>189</v>
      </c>
      <c r="U421" s="20"/>
    </row>
    <row r="422" ht="69.6" spans="1:21">
      <c r="A422" s="20">
        <f t="shared" si="48"/>
        <v>417</v>
      </c>
      <c r="B422" s="20" t="s">
        <v>64</v>
      </c>
      <c r="C422" s="20" t="s">
        <v>73</v>
      </c>
      <c r="D422" s="20" t="s">
        <v>77</v>
      </c>
      <c r="E422" s="20" t="s">
        <v>1603</v>
      </c>
      <c r="F422" s="21" t="s">
        <v>1604</v>
      </c>
      <c r="G422" s="20" t="s">
        <v>370</v>
      </c>
      <c r="H422" s="20" t="s">
        <v>479</v>
      </c>
      <c r="I422" s="23">
        <f t="shared" si="45"/>
        <v>20</v>
      </c>
      <c r="J422" s="23">
        <v>20</v>
      </c>
      <c r="K422" s="20"/>
      <c r="L422" s="21" t="s">
        <v>145</v>
      </c>
      <c r="M422" s="20">
        <v>449</v>
      </c>
      <c r="N422" s="20">
        <v>1146</v>
      </c>
      <c r="O422" s="20">
        <v>55</v>
      </c>
      <c r="P422" s="20">
        <v>119</v>
      </c>
      <c r="Q422" s="21" t="s">
        <v>1605</v>
      </c>
      <c r="R422" s="20" t="s">
        <v>373</v>
      </c>
      <c r="S422" s="20" t="s">
        <v>148</v>
      </c>
      <c r="T422" s="20" t="s">
        <v>451</v>
      </c>
      <c r="U422" s="20"/>
    </row>
    <row r="423" ht="126" customHeight="1" spans="1:21">
      <c r="A423" s="20">
        <f t="shared" si="48"/>
        <v>418</v>
      </c>
      <c r="B423" s="20" t="s">
        <v>64</v>
      </c>
      <c r="C423" s="20" t="s">
        <v>73</v>
      </c>
      <c r="D423" s="20" t="s">
        <v>77</v>
      </c>
      <c r="E423" s="20" t="s">
        <v>1606</v>
      </c>
      <c r="F423" s="21" t="s">
        <v>1607</v>
      </c>
      <c r="G423" s="20" t="s">
        <v>220</v>
      </c>
      <c r="H423" s="20" t="s">
        <v>299</v>
      </c>
      <c r="I423" s="23">
        <f t="shared" si="45"/>
        <v>110</v>
      </c>
      <c r="J423" s="23">
        <v>110</v>
      </c>
      <c r="K423" s="20"/>
      <c r="L423" s="20" t="s">
        <v>145</v>
      </c>
      <c r="M423" s="20">
        <v>284</v>
      </c>
      <c r="N423" s="20">
        <v>1160</v>
      </c>
      <c r="O423" s="20">
        <v>10</v>
      </c>
      <c r="P423" s="20">
        <v>20</v>
      </c>
      <c r="Q423" s="21" t="s">
        <v>1608</v>
      </c>
      <c r="R423" s="20" t="s">
        <v>223</v>
      </c>
      <c r="S423" s="20" t="s">
        <v>148</v>
      </c>
      <c r="T423" s="20" t="s">
        <v>1609</v>
      </c>
      <c r="U423" s="20"/>
    </row>
    <row r="424" ht="99" customHeight="1" spans="1:21">
      <c r="A424" s="20">
        <f t="shared" si="48"/>
        <v>419</v>
      </c>
      <c r="B424" s="20" t="s">
        <v>64</v>
      </c>
      <c r="C424" s="20" t="s">
        <v>73</v>
      </c>
      <c r="D424" s="20" t="s">
        <v>77</v>
      </c>
      <c r="E424" s="20" t="s">
        <v>1610</v>
      </c>
      <c r="F424" s="21" t="s">
        <v>1611</v>
      </c>
      <c r="G424" s="20" t="s">
        <v>164</v>
      </c>
      <c r="H424" s="20" t="s">
        <v>1612</v>
      </c>
      <c r="I424" s="23">
        <f t="shared" si="45"/>
        <v>60</v>
      </c>
      <c r="J424" s="29">
        <v>60</v>
      </c>
      <c r="K424" s="28"/>
      <c r="L424" s="28" t="s">
        <v>145</v>
      </c>
      <c r="M424" s="28">
        <v>83</v>
      </c>
      <c r="N424" s="28">
        <v>142</v>
      </c>
      <c r="O424" s="28">
        <v>16</v>
      </c>
      <c r="P424" s="28">
        <v>25</v>
      </c>
      <c r="Q424" s="21" t="s">
        <v>1613</v>
      </c>
      <c r="R424" s="20" t="s">
        <v>167</v>
      </c>
      <c r="S424" s="20" t="s">
        <v>148</v>
      </c>
      <c r="T424" s="20" t="s">
        <v>392</v>
      </c>
      <c r="U424" s="20"/>
    </row>
    <row r="425" ht="104.4" spans="1:21">
      <c r="A425" s="20">
        <f t="shared" si="48"/>
        <v>420</v>
      </c>
      <c r="B425" s="33" t="s">
        <v>64</v>
      </c>
      <c r="C425" s="33" t="s">
        <v>73</v>
      </c>
      <c r="D425" s="33" t="s">
        <v>77</v>
      </c>
      <c r="E425" s="33" t="s">
        <v>1614</v>
      </c>
      <c r="F425" s="34" t="s">
        <v>1615</v>
      </c>
      <c r="G425" s="33" t="s">
        <v>279</v>
      </c>
      <c r="H425" s="33" t="s">
        <v>723</v>
      </c>
      <c r="I425" s="23">
        <f t="shared" si="45"/>
        <v>10</v>
      </c>
      <c r="J425" s="36">
        <v>10</v>
      </c>
      <c r="K425" s="33"/>
      <c r="L425" s="33" t="s">
        <v>145</v>
      </c>
      <c r="M425" s="33">
        <v>372</v>
      </c>
      <c r="N425" s="33">
        <v>927</v>
      </c>
      <c r="O425" s="33">
        <v>24</v>
      </c>
      <c r="P425" s="33">
        <v>50</v>
      </c>
      <c r="Q425" s="34" t="s">
        <v>1616</v>
      </c>
      <c r="R425" s="33" t="s">
        <v>282</v>
      </c>
      <c r="S425" s="33" t="s">
        <v>148</v>
      </c>
      <c r="T425" s="33" t="s">
        <v>392</v>
      </c>
      <c r="U425" s="20"/>
    </row>
    <row r="426" ht="87" spans="1:21">
      <c r="A426" s="20">
        <f t="shared" si="48"/>
        <v>421</v>
      </c>
      <c r="B426" s="33" t="s">
        <v>64</v>
      </c>
      <c r="C426" s="33" t="s">
        <v>73</v>
      </c>
      <c r="D426" s="33" t="s">
        <v>77</v>
      </c>
      <c r="E426" s="33" t="s">
        <v>1617</v>
      </c>
      <c r="F426" s="34" t="s">
        <v>1618</v>
      </c>
      <c r="G426" s="33" t="s">
        <v>279</v>
      </c>
      <c r="H426" s="33" t="s">
        <v>1619</v>
      </c>
      <c r="I426" s="23">
        <f t="shared" si="45"/>
        <v>17</v>
      </c>
      <c r="J426" s="36">
        <v>17</v>
      </c>
      <c r="K426" s="33"/>
      <c r="L426" s="33" t="s">
        <v>145</v>
      </c>
      <c r="M426" s="33">
        <v>81</v>
      </c>
      <c r="N426" s="33">
        <v>232</v>
      </c>
      <c r="O426" s="33">
        <v>1</v>
      </c>
      <c r="P426" s="33">
        <v>1</v>
      </c>
      <c r="Q426" s="34" t="s">
        <v>1620</v>
      </c>
      <c r="R426" s="33" t="s">
        <v>282</v>
      </c>
      <c r="S426" s="33" t="s">
        <v>148</v>
      </c>
      <c r="T426" s="33" t="s">
        <v>392</v>
      </c>
      <c r="U426" s="20"/>
    </row>
    <row r="427" ht="69.6" spans="1:21">
      <c r="A427" s="20">
        <f t="shared" ref="A427:A436" si="49">ROW()-5</f>
        <v>422</v>
      </c>
      <c r="B427" s="20" t="s">
        <v>64</v>
      </c>
      <c r="C427" s="20" t="s">
        <v>73</v>
      </c>
      <c r="D427" s="20" t="s">
        <v>77</v>
      </c>
      <c r="E427" s="20" t="s">
        <v>1621</v>
      </c>
      <c r="F427" s="21" t="s">
        <v>1622</v>
      </c>
      <c r="G427" s="20" t="s">
        <v>556</v>
      </c>
      <c r="H427" s="20" t="s">
        <v>1623</v>
      </c>
      <c r="I427" s="23">
        <f t="shared" si="45"/>
        <v>100</v>
      </c>
      <c r="J427" s="23">
        <v>100</v>
      </c>
      <c r="K427" s="20"/>
      <c r="L427" s="20" t="s">
        <v>145</v>
      </c>
      <c r="M427" s="20">
        <v>452</v>
      </c>
      <c r="N427" s="20">
        <v>2000</v>
      </c>
      <c r="O427" s="20">
        <v>15</v>
      </c>
      <c r="P427" s="20">
        <v>30</v>
      </c>
      <c r="Q427" s="21" t="s">
        <v>1624</v>
      </c>
      <c r="R427" s="20" t="s">
        <v>558</v>
      </c>
      <c r="S427" s="20" t="s">
        <v>148</v>
      </c>
      <c r="T427" s="20" t="s">
        <v>224</v>
      </c>
      <c r="U427" s="20"/>
    </row>
    <row r="428" ht="92" customHeight="1" spans="1:21">
      <c r="A428" s="20">
        <f t="shared" si="49"/>
        <v>423</v>
      </c>
      <c r="B428" s="20" t="s">
        <v>64</v>
      </c>
      <c r="C428" s="20" t="s">
        <v>73</v>
      </c>
      <c r="D428" s="20" t="s">
        <v>77</v>
      </c>
      <c r="E428" s="20" t="s">
        <v>1625</v>
      </c>
      <c r="F428" s="21" t="s">
        <v>1626</v>
      </c>
      <c r="G428" s="20" t="s">
        <v>164</v>
      </c>
      <c r="H428" s="20" t="s">
        <v>264</v>
      </c>
      <c r="I428" s="23">
        <f t="shared" si="45"/>
        <v>90</v>
      </c>
      <c r="J428" s="29">
        <v>40</v>
      </c>
      <c r="K428" s="28">
        <v>50</v>
      </c>
      <c r="L428" s="28" t="s">
        <v>145</v>
      </c>
      <c r="M428" s="28">
        <v>49</v>
      </c>
      <c r="N428" s="28">
        <v>124</v>
      </c>
      <c r="O428" s="28">
        <v>2</v>
      </c>
      <c r="P428" s="28">
        <v>3</v>
      </c>
      <c r="Q428" s="21" t="s">
        <v>1627</v>
      </c>
      <c r="R428" s="20" t="s">
        <v>167</v>
      </c>
      <c r="S428" s="20" t="s">
        <v>148</v>
      </c>
      <c r="T428" s="20" t="s">
        <v>392</v>
      </c>
      <c r="U428" s="20"/>
    </row>
    <row r="429" ht="105" customHeight="1" spans="1:21">
      <c r="A429" s="20">
        <f t="shared" si="49"/>
        <v>424</v>
      </c>
      <c r="B429" s="20" t="s">
        <v>64</v>
      </c>
      <c r="C429" s="20" t="s">
        <v>73</v>
      </c>
      <c r="D429" s="20" t="s">
        <v>77</v>
      </c>
      <c r="E429" s="20" t="s">
        <v>1628</v>
      </c>
      <c r="F429" s="21" t="s">
        <v>1629</v>
      </c>
      <c r="G429" s="20" t="s">
        <v>556</v>
      </c>
      <c r="H429" s="20" t="s">
        <v>834</v>
      </c>
      <c r="I429" s="23">
        <f t="shared" si="45"/>
        <v>120</v>
      </c>
      <c r="J429" s="23">
        <v>120</v>
      </c>
      <c r="K429" s="20"/>
      <c r="L429" s="20" t="s">
        <v>145</v>
      </c>
      <c r="M429" s="20">
        <v>101</v>
      </c>
      <c r="N429" s="20">
        <v>257</v>
      </c>
      <c r="O429" s="20">
        <v>7</v>
      </c>
      <c r="P429" s="20">
        <v>16</v>
      </c>
      <c r="Q429" s="21" t="s">
        <v>1630</v>
      </c>
      <c r="R429" s="20" t="s">
        <v>558</v>
      </c>
      <c r="S429" s="20" t="s">
        <v>148</v>
      </c>
      <c r="T429" s="20" t="s">
        <v>387</v>
      </c>
      <c r="U429" s="20"/>
    </row>
    <row r="430" s="8" customFormat="1" ht="313.2" spans="1:21">
      <c r="A430" s="20">
        <f t="shared" si="49"/>
        <v>425</v>
      </c>
      <c r="B430" s="20" t="s">
        <v>64</v>
      </c>
      <c r="C430" s="20" t="s">
        <v>73</v>
      </c>
      <c r="D430" s="20" t="s">
        <v>77</v>
      </c>
      <c r="E430" s="21" t="s">
        <v>1631</v>
      </c>
      <c r="F430" s="21" t="s">
        <v>1632</v>
      </c>
      <c r="G430" s="21" t="s">
        <v>343</v>
      </c>
      <c r="H430" s="21" t="s">
        <v>1633</v>
      </c>
      <c r="I430" s="23">
        <f t="shared" si="45"/>
        <v>130</v>
      </c>
      <c r="J430" s="23">
        <v>130</v>
      </c>
      <c r="K430" s="21"/>
      <c r="L430" s="21" t="s">
        <v>145</v>
      </c>
      <c r="M430" s="21">
        <v>718</v>
      </c>
      <c r="N430" s="21">
        <v>2098</v>
      </c>
      <c r="O430" s="21">
        <v>23</v>
      </c>
      <c r="P430" s="21">
        <v>41</v>
      </c>
      <c r="Q430" s="21" t="s">
        <v>1634</v>
      </c>
      <c r="R430" s="21" t="s">
        <v>346</v>
      </c>
      <c r="S430" s="21" t="s">
        <v>148</v>
      </c>
      <c r="T430" s="21" t="s">
        <v>189</v>
      </c>
      <c r="U430" s="21"/>
    </row>
    <row r="431" s="7" customFormat="1" ht="92" customHeight="1" spans="1:21">
      <c r="A431" s="20">
        <f t="shared" si="49"/>
        <v>426</v>
      </c>
      <c r="B431" s="20" t="s">
        <v>64</v>
      </c>
      <c r="C431" s="20" t="s">
        <v>78</v>
      </c>
      <c r="D431" s="20" t="s">
        <v>82</v>
      </c>
      <c r="E431" s="20" t="s">
        <v>1635</v>
      </c>
      <c r="F431" s="21" t="s">
        <v>1636</v>
      </c>
      <c r="G431" s="20" t="s">
        <v>556</v>
      </c>
      <c r="H431" s="20" t="s">
        <v>1637</v>
      </c>
      <c r="I431" s="23">
        <f t="shared" si="45"/>
        <v>55</v>
      </c>
      <c r="J431" s="23">
        <v>55</v>
      </c>
      <c r="K431" s="20"/>
      <c r="L431" s="20" t="s">
        <v>145</v>
      </c>
      <c r="M431" s="20">
        <v>298</v>
      </c>
      <c r="N431" s="20">
        <v>835</v>
      </c>
      <c r="O431" s="20">
        <v>9</v>
      </c>
      <c r="P431" s="20">
        <v>18</v>
      </c>
      <c r="Q431" s="21" t="s">
        <v>1638</v>
      </c>
      <c r="R431" s="20" t="s">
        <v>558</v>
      </c>
      <c r="S431" s="20" t="s">
        <v>148</v>
      </c>
      <c r="T431" s="20" t="s">
        <v>387</v>
      </c>
      <c r="U431" s="20"/>
    </row>
    <row r="432" s="7" customFormat="1" ht="105" customHeight="1" spans="1:21">
      <c r="A432" s="20">
        <f t="shared" si="49"/>
        <v>427</v>
      </c>
      <c r="B432" s="20" t="s">
        <v>64</v>
      </c>
      <c r="C432" s="20" t="s">
        <v>78</v>
      </c>
      <c r="D432" s="20" t="s">
        <v>82</v>
      </c>
      <c r="E432" s="20" t="s">
        <v>1639</v>
      </c>
      <c r="F432" s="21" t="s">
        <v>1640</v>
      </c>
      <c r="G432" s="20" t="s">
        <v>556</v>
      </c>
      <c r="H432" s="20" t="s">
        <v>1641</v>
      </c>
      <c r="I432" s="23">
        <f t="shared" si="45"/>
        <v>25.74</v>
      </c>
      <c r="J432" s="23">
        <v>25.74</v>
      </c>
      <c r="K432" s="20"/>
      <c r="L432" s="20" t="s">
        <v>145</v>
      </c>
      <c r="M432" s="20">
        <v>42</v>
      </c>
      <c r="N432" s="20">
        <v>240</v>
      </c>
      <c r="O432" s="20">
        <v>7</v>
      </c>
      <c r="P432" s="20">
        <v>8</v>
      </c>
      <c r="Q432" s="21" t="s">
        <v>1642</v>
      </c>
      <c r="R432" s="20" t="s">
        <v>558</v>
      </c>
      <c r="S432" s="20" t="s">
        <v>148</v>
      </c>
      <c r="T432" s="20" t="s">
        <v>387</v>
      </c>
      <c r="U432" s="20"/>
    </row>
    <row r="433" s="7" customFormat="1" ht="86" customHeight="1" spans="1:21">
      <c r="A433" s="20">
        <f t="shared" si="49"/>
        <v>428</v>
      </c>
      <c r="B433" s="20" t="s">
        <v>64</v>
      </c>
      <c r="C433" s="20" t="s">
        <v>78</v>
      </c>
      <c r="D433" s="20" t="s">
        <v>82</v>
      </c>
      <c r="E433" s="20" t="s">
        <v>1643</v>
      </c>
      <c r="F433" s="21" t="s">
        <v>1644</v>
      </c>
      <c r="G433" s="20" t="s">
        <v>152</v>
      </c>
      <c r="H433" s="20" t="s">
        <v>318</v>
      </c>
      <c r="I433" s="23">
        <f t="shared" si="45"/>
        <v>60</v>
      </c>
      <c r="J433" s="23">
        <v>60</v>
      </c>
      <c r="K433" s="20"/>
      <c r="L433" s="20" t="s">
        <v>145</v>
      </c>
      <c r="M433" s="20">
        <v>279</v>
      </c>
      <c r="N433" s="20">
        <v>955</v>
      </c>
      <c r="O433" s="20">
        <v>42</v>
      </c>
      <c r="P433" s="20">
        <v>48</v>
      </c>
      <c r="Q433" s="21" t="s">
        <v>1645</v>
      </c>
      <c r="R433" s="20" t="s">
        <v>155</v>
      </c>
      <c r="S433" s="20" t="s">
        <v>148</v>
      </c>
      <c r="T433" s="20" t="s">
        <v>320</v>
      </c>
      <c r="U433" s="20"/>
    </row>
    <row r="434" s="7" customFormat="1" ht="81" customHeight="1" spans="1:21">
      <c r="A434" s="20">
        <f t="shared" si="49"/>
        <v>429</v>
      </c>
      <c r="B434" s="20" t="s">
        <v>64</v>
      </c>
      <c r="C434" s="20" t="s">
        <v>78</v>
      </c>
      <c r="D434" s="20" t="s">
        <v>82</v>
      </c>
      <c r="E434" s="20" t="s">
        <v>1646</v>
      </c>
      <c r="F434" s="21" t="s">
        <v>1647</v>
      </c>
      <c r="G434" s="20" t="s">
        <v>198</v>
      </c>
      <c r="H434" s="20" t="s">
        <v>216</v>
      </c>
      <c r="I434" s="23">
        <f t="shared" si="45"/>
        <v>42</v>
      </c>
      <c r="J434" s="23">
        <v>42</v>
      </c>
      <c r="K434" s="20"/>
      <c r="L434" s="20" t="s">
        <v>145</v>
      </c>
      <c r="M434" s="20">
        <v>427</v>
      </c>
      <c r="N434" s="20">
        <v>1044</v>
      </c>
      <c r="O434" s="20">
        <v>7</v>
      </c>
      <c r="P434" s="20">
        <v>14</v>
      </c>
      <c r="Q434" s="21" t="s">
        <v>1648</v>
      </c>
      <c r="R434" s="20" t="s">
        <v>201</v>
      </c>
      <c r="S434" s="20" t="s">
        <v>148</v>
      </c>
      <c r="T434" s="20" t="s">
        <v>202</v>
      </c>
      <c r="U434" s="20"/>
    </row>
    <row r="435" s="7" customFormat="1" ht="90" customHeight="1" spans="1:21">
      <c r="A435" s="20">
        <f t="shared" si="49"/>
        <v>430</v>
      </c>
      <c r="B435" s="20" t="s">
        <v>64</v>
      </c>
      <c r="C435" s="20" t="s">
        <v>78</v>
      </c>
      <c r="D435" s="20" t="s">
        <v>82</v>
      </c>
      <c r="E435" s="20" t="s">
        <v>1649</v>
      </c>
      <c r="F435" s="21" t="s">
        <v>1650</v>
      </c>
      <c r="G435" s="20" t="s">
        <v>220</v>
      </c>
      <c r="H435" s="20" t="s">
        <v>221</v>
      </c>
      <c r="I435" s="23">
        <f t="shared" si="45"/>
        <v>11.2</v>
      </c>
      <c r="J435" s="23">
        <v>11.2</v>
      </c>
      <c r="K435" s="20">
        <v>0</v>
      </c>
      <c r="L435" s="20" t="s">
        <v>145</v>
      </c>
      <c r="M435" s="20">
        <v>612</v>
      </c>
      <c r="N435" s="20">
        <v>1439</v>
      </c>
      <c r="O435" s="20">
        <v>21</v>
      </c>
      <c r="P435" s="20">
        <v>30</v>
      </c>
      <c r="Q435" s="21" t="s">
        <v>1651</v>
      </c>
      <c r="R435" s="20" t="s">
        <v>223</v>
      </c>
      <c r="S435" s="20" t="s">
        <v>148</v>
      </c>
      <c r="T435" s="20" t="s">
        <v>251</v>
      </c>
      <c r="U435" s="20"/>
    </row>
    <row r="436" s="7" customFormat="1" ht="82" customHeight="1" spans="1:21">
      <c r="A436" s="20">
        <f t="shared" si="49"/>
        <v>431</v>
      </c>
      <c r="B436" s="20" t="s">
        <v>64</v>
      </c>
      <c r="C436" s="20" t="s">
        <v>78</v>
      </c>
      <c r="D436" s="20" t="s">
        <v>82</v>
      </c>
      <c r="E436" s="20" t="s">
        <v>1652</v>
      </c>
      <c r="F436" s="21" t="s">
        <v>1653</v>
      </c>
      <c r="G436" s="20" t="s">
        <v>164</v>
      </c>
      <c r="H436" s="20" t="s">
        <v>264</v>
      </c>
      <c r="I436" s="23">
        <f t="shared" si="45"/>
        <v>21</v>
      </c>
      <c r="J436" s="29">
        <v>21</v>
      </c>
      <c r="K436" s="28"/>
      <c r="L436" s="28" t="s">
        <v>145</v>
      </c>
      <c r="M436" s="28">
        <v>156</v>
      </c>
      <c r="N436" s="28">
        <v>404</v>
      </c>
      <c r="O436" s="28">
        <v>2</v>
      </c>
      <c r="P436" s="28">
        <v>3</v>
      </c>
      <c r="Q436" s="21" t="s">
        <v>1654</v>
      </c>
      <c r="R436" s="20" t="s">
        <v>167</v>
      </c>
      <c r="S436" s="20" t="s">
        <v>148</v>
      </c>
      <c r="T436" s="20" t="s">
        <v>168</v>
      </c>
      <c r="U436" s="20"/>
    </row>
    <row r="437" s="7" customFormat="1" ht="87" customHeight="1" spans="1:21">
      <c r="A437" s="20">
        <f t="shared" ref="A437:A446" si="50">ROW()-5</f>
        <v>432</v>
      </c>
      <c r="B437" s="20" t="s">
        <v>64</v>
      </c>
      <c r="C437" s="20" t="s">
        <v>78</v>
      </c>
      <c r="D437" s="20" t="s">
        <v>82</v>
      </c>
      <c r="E437" s="20" t="s">
        <v>1655</v>
      </c>
      <c r="F437" s="21" t="s">
        <v>1656</v>
      </c>
      <c r="G437" s="20" t="s">
        <v>343</v>
      </c>
      <c r="H437" s="20" t="s">
        <v>1657</v>
      </c>
      <c r="I437" s="23">
        <f t="shared" si="45"/>
        <v>14</v>
      </c>
      <c r="J437" s="29">
        <v>14</v>
      </c>
      <c r="K437" s="28"/>
      <c r="L437" s="20" t="s">
        <v>145</v>
      </c>
      <c r="M437" s="28">
        <v>39</v>
      </c>
      <c r="N437" s="28">
        <v>196</v>
      </c>
      <c r="O437" s="28">
        <v>5</v>
      </c>
      <c r="P437" s="28">
        <v>5</v>
      </c>
      <c r="Q437" s="21" t="s">
        <v>1658</v>
      </c>
      <c r="R437" s="20" t="s">
        <v>346</v>
      </c>
      <c r="S437" s="20" t="s">
        <v>148</v>
      </c>
      <c r="T437" s="20" t="s">
        <v>347</v>
      </c>
      <c r="U437" s="28"/>
    </row>
    <row r="438" s="7" customFormat="1" ht="85" customHeight="1" spans="1:21">
      <c r="A438" s="20">
        <f t="shared" si="50"/>
        <v>433</v>
      </c>
      <c r="B438" s="20" t="s">
        <v>64</v>
      </c>
      <c r="C438" s="20" t="s">
        <v>78</v>
      </c>
      <c r="D438" s="20" t="s">
        <v>82</v>
      </c>
      <c r="E438" s="20" t="s">
        <v>1659</v>
      </c>
      <c r="F438" s="21" t="s">
        <v>1660</v>
      </c>
      <c r="G438" s="20" t="s">
        <v>343</v>
      </c>
      <c r="H438" s="20" t="s">
        <v>1657</v>
      </c>
      <c r="I438" s="23">
        <f t="shared" si="45"/>
        <v>14</v>
      </c>
      <c r="J438" s="23">
        <v>14</v>
      </c>
      <c r="K438" s="20"/>
      <c r="L438" s="20" t="s">
        <v>145</v>
      </c>
      <c r="M438" s="28">
        <v>33</v>
      </c>
      <c r="N438" s="28">
        <v>138</v>
      </c>
      <c r="O438" s="20">
        <v>2</v>
      </c>
      <c r="P438" s="28">
        <v>4</v>
      </c>
      <c r="Q438" s="21" t="s">
        <v>1661</v>
      </c>
      <c r="R438" s="20" t="s">
        <v>346</v>
      </c>
      <c r="S438" s="20" t="s">
        <v>148</v>
      </c>
      <c r="T438" s="20" t="s">
        <v>347</v>
      </c>
      <c r="U438" s="28"/>
    </row>
    <row r="439" s="7" customFormat="1" ht="94.8" customHeight="1" spans="1:21">
      <c r="A439" s="20">
        <f t="shared" si="50"/>
        <v>434</v>
      </c>
      <c r="B439" s="20" t="s">
        <v>64</v>
      </c>
      <c r="C439" s="20" t="s">
        <v>78</v>
      </c>
      <c r="D439" s="20" t="s">
        <v>82</v>
      </c>
      <c r="E439" s="20" t="s">
        <v>1662</v>
      </c>
      <c r="F439" s="21" t="s">
        <v>1663</v>
      </c>
      <c r="G439" s="20" t="s">
        <v>343</v>
      </c>
      <c r="H439" s="20" t="s">
        <v>344</v>
      </c>
      <c r="I439" s="23">
        <f t="shared" si="45"/>
        <v>44.52</v>
      </c>
      <c r="J439" s="29">
        <v>44.52</v>
      </c>
      <c r="K439" s="28"/>
      <c r="L439" s="28" t="s">
        <v>145</v>
      </c>
      <c r="M439" s="28">
        <v>200</v>
      </c>
      <c r="N439" s="28">
        <v>598</v>
      </c>
      <c r="O439" s="28">
        <v>4</v>
      </c>
      <c r="P439" s="28">
        <v>9</v>
      </c>
      <c r="Q439" s="21" t="s">
        <v>1664</v>
      </c>
      <c r="R439" s="20" t="s">
        <v>346</v>
      </c>
      <c r="S439" s="20" t="s">
        <v>148</v>
      </c>
      <c r="T439" s="20" t="s">
        <v>347</v>
      </c>
      <c r="U439" s="20"/>
    </row>
    <row r="440" s="9" customFormat="1" ht="100.5" customHeight="1" spans="1:21">
      <c r="A440" s="20">
        <f t="shared" si="50"/>
        <v>435</v>
      </c>
      <c r="B440" s="20" t="s">
        <v>64</v>
      </c>
      <c r="C440" s="22" t="s">
        <v>78</v>
      </c>
      <c r="D440" s="22" t="s">
        <v>82</v>
      </c>
      <c r="E440" s="20" t="s">
        <v>1665</v>
      </c>
      <c r="F440" s="21" t="s">
        <v>1666</v>
      </c>
      <c r="G440" s="20" t="s">
        <v>343</v>
      </c>
      <c r="H440" s="22" t="s">
        <v>1667</v>
      </c>
      <c r="I440" s="23">
        <f t="shared" si="45"/>
        <v>14.28</v>
      </c>
      <c r="J440" s="23">
        <v>14.28</v>
      </c>
      <c r="K440" s="20"/>
      <c r="L440" s="20" t="s">
        <v>145</v>
      </c>
      <c r="M440" s="20">
        <v>56</v>
      </c>
      <c r="N440" s="20">
        <v>180</v>
      </c>
      <c r="O440" s="20">
        <v>0</v>
      </c>
      <c r="P440" s="22">
        <v>0</v>
      </c>
      <c r="Q440" s="21" t="s">
        <v>1668</v>
      </c>
      <c r="R440" s="20" t="s">
        <v>346</v>
      </c>
      <c r="S440" s="20" t="s">
        <v>148</v>
      </c>
      <c r="T440" s="20" t="s">
        <v>347</v>
      </c>
      <c r="U440" s="20"/>
    </row>
    <row r="441" s="7" customFormat="1" ht="91" customHeight="1" spans="1:21">
      <c r="A441" s="20">
        <f t="shared" si="50"/>
        <v>436</v>
      </c>
      <c r="B441" s="20" t="s">
        <v>64</v>
      </c>
      <c r="C441" s="22" t="s">
        <v>78</v>
      </c>
      <c r="D441" s="22" t="s">
        <v>82</v>
      </c>
      <c r="E441" s="20" t="s">
        <v>1669</v>
      </c>
      <c r="F441" s="21" t="s">
        <v>1670</v>
      </c>
      <c r="G441" s="20" t="s">
        <v>343</v>
      </c>
      <c r="H441" s="20" t="s">
        <v>1657</v>
      </c>
      <c r="I441" s="23">
        <f t="shared" si="45"/>
        <v>8.4</v>
      </c>
      <c r="J441" s="29">
        <v>8.4</v>
      </c>
      <c r="K441" s="28"/>
      <c r="L441" s="28" t="s">
        <v>145</v>
      </c>
      <c r="M441" s="28">
        <v>29</v>
      </c>
      <c r="N441" s="28">
        <v>74</v>
      </c>
      <c r="O441" s="28">
        <v>2</v>
      </c>
      <c r="P441" s="28">
        <v>2</v>
      </c>
      <c r="Q441" s="21" t="s">
        <v>1671</v>
      </c>
      <c r="R441" s="20" t="s">
        <v>346</v>
      </c>
      <c r="S441" s="20" t="s">
        <v>148</v>
      </c>
      <c r="T441" s="20" t="s">
        <v>347</v>
      </c>
      <c r="U441" s="28"/>
    </row>
    <row r="442" s="7" customFormat="1" ht="80" customHeight="1" spans="1:21">
      <c r="A442" s="20">
        <f t="shared" si="50"/>
        <v>437</v>
      </c>
      <c r="B442" s="20" t="s">
        <v>64</v>
      </c>
      <c r="C442" s="20" t="s">
        <v>78</v>
      </c>
      <c r="D442" s="20" t="s">
        <v>82</v>
      </c>
      <c r="E442" s="20" t="s">
        <v>1672</v>
      </c>
      <c r="F442" s="21" t="s">
        <v>1673</v>
      </c>
      <c r="G442" s="20" t="s">
        <v>178</v>
      </c>
      <c r="H442" s="20" t="s">
        <v>294</v>
      </c>
      <c r="I442" s="23">
        <f t="shared" si="45"/>
        <v>38.5</v>
      </c>
      <c r="J442" s="23">
        <v>38.5</v>
      </c>
      <c r="K442" s="20"/>
      <c r="L442" s="20" t="s">
        <v>145</v>
      </c>
      <c r="M442" s="20">
        <v>370</v>
      </c>
      <c r="N442" s="20">
        <v>1041</v>
      </c>
      <c r="O442" s="20">
        <v>16</v>
      </c>
      <c r="P442" s="20">
        <v>35</v>
      </c>
      <c r="Q442" s="21" t="s">
        <v>1674</v>
      </c>
      <c r="R442" s="20" t="s">
        <v>181</v>
      </c>
      <c r="S442" s="20" t="s">
        <v>148</v>
      </c>
      <c r="T442" s="20" t="s">
        <v>1155</v>
      </c>
      <c r="U442" s="28"/>
    </row>
    <row r="443" s="7" customFormat="1" ht="77" customHeight="1" spans="1:21">
      <c r="A443" s="20">
        <f t="shared" si="50"/>
        <v>438</v>
      </c>
      <c r="B443" s="20" t="s">
        <v>64</v>
      </c>
      <c r="C443" s="20" t="s">
        <v>78</v>
      </c>
      <c r="D443" s="20" t="s">
        <v>82</v>
      </c>
      <c r="E443" s="20" t="s">
        <v>1675</v>
      </c>
      <c r="F443" s="21" t="s">
        <v>1676</v>
      </c>
      <c r="G443" s="20" t="s">
        <v>178</v>
      </c>
      <c r="H443" s="20" t="s">
        <v>259</v>
      </c>
      <c r="I443" s="23">
        <f t="shared" si="45"/>
        <v>40</v>
      </c>
      <c r="J443" s="23">
        <v>40</v>
      </c>
      <c r="K443" s="20"/>
      <c r="L443" s="20" t="s">
        <v>145</v>
      </c>
      <c r="M443" s="20">
        <v>143</v>
      </c>
      <c r="N443" s="20">
        <v>408</v>
      </c>
      <c r="O443" s="20">
        <v>13</v>
      </c>
      <c r="P443" s="20">
        <v>29</v>
      </c>
      <c r="Q443" s="21" t="s">
        <v>1677</v>
      </c>
      <c r="R443" s="20" t="s">
        <v>181</v>
      </c>
      <c r="S443" s="20" t="s">
        <v>148</v>
      </c>
      <c r="T443" s="20" t="s">
        <v>1155</v>
      </c>
      <c r="U443" s="28"/>
    </row>
    <row r="444" s="7" customFormat="1" ht="77" customHeight="1" spans="1:21">
      <c r="A444" s="20">
        <f t="shared" si="50"/>
        <v>439</v>
      </c>
      <c r="B444" s="20" t="s">
        <v>64</v>
      </c>
      <c r="C444" s="20" t="s">
        <v>78</v>
      </c>
      <c r="D444" s="20" t="s">
        <v>82</v>
      </c>
      <c r="E444" s="20" t="s">
        <v>1678</v>
      </c>
      <c r="F444" s="21" t="s">
        <v>1679</v>
      </c>
      <c r="G444" s="20" t="s">
        <v>178</v>
      </c>
      <c r="H444" s="20" t="s">
        <v>928</v>
      </c>
      <c r="I444" s="23">
        <f t="shared" si="45"/>
        <v>12.5</v>
      </c>
      <c r="J444" s="23">
        <v>12.5</v>
      </c>
      <c r="K444" s="20"/>
      <c r="L444" s="20" t="s">
        <v>145</v>
      </c>
      <c r="M444" s="20">
        <v>39</v>
      </c>
      <c r="N444" s="20">
        <v>103</v>
      </c>
      <c r="O444" s="20">
        <v>3</v>
      </c>
      <c r="P444" s="20">
        <v>6</v>
      </c>
      <c r="Q444" s="21" t="s">
        <v>1680</v>
      </c>
      <c r="R444" s="20" t="s">
        <v>181</v>
      </c>
      <c r="S444" s="20" t="s">
        <v>148</v>
      </c>
      <c r="T444" s="20" t="s">
        <v>917</v>
      </c>
      <c r="U444" s="28"/>
    </row>
    <row r="445" s="7" customFormat="1" ht="77" customHeight="1" spans="1:21">
      <c r="A445" s="20">
        <f t="shared" si="50"/>
        <v>440</v>
      </c>
      <c r="B445" s="20" t="s">
        <v>64</v>
      </c>
      <c r="C445" s="20" t="s">
        <v>78</v>
      </c>
      <c r="D445" s="20" t="s">
        <v>82</v>
      </c>
      <c r="E445" s="20" t="s">
        <v>1681</v>
      </c>
      <c r="F445" s="21" t="s">
        <v>1682</v>
      </c>
      <c r="G445" s="20" t="s">
        <v>178</v>
      </c>
      <c r="H445" s="20" t="s">
        <v>1165</v>
      </c>
      <c r="I445" s="23">
        <f t="shared" si="45"/>
        <v>16</v>
      </c>
      <c r="J445" s="23">
        <v>16</v>
      </c>
      <c r="K445" s="20"/>
      <c r="L445" s="20" t="s">
        <v>145</v>
      </c>
      <c r="M445" s="20">
        <v>87</v>
      </c>
      <c r="N445" s="20">
        <v>263</v>
      </c>
      <c r="O445" s="20">
        <v>2</v>
      </c>
      <c r="P445" s="20">
        <v>2</v>
      </c>
      <c r="Q445" s="21" t="s">
        <v>1683</v>
      </c>
      <c r="R445" s="20" t="s">
        <v>181</v>
      </c>
      <c r="S445" s="20" t="s">
        <v>148</v>
      </c>
      <c r="T445" s="20" t="s">
        <v>1159</v>
      </c>
      <c r="U445" s="28"/>
    </row>
    <row r="446" s="7" customFormat="1" ht="77" customHeight="1" spans="1:21">
      <c r="A446" s="20">
        <f t="shared" si="50"/>
        <v>441</v>
      </c>
      <c r="B446" s="20" t="s">
        <v>64</v>
      </c>
      <c r="C446" s="20" t="s">
        <v>78</v>
      </c>
      <c r="D446" s="20" t="s">
        <v>82</v>
      </c>
      <c r="E446" s="20" t="s">
        <v>1684</v>
      </c>
      <c r="F446" s="21" t="s">
        <v>1685</v>
      </c>
      <c r="G446" s="20" t="s">
        <v>178</v>
      </c>
      <c r="H446" s="20" t="s">
        <v>399</v>
      </c>
      <c r="I446" s="23">
        <f t="shared" si="45"/>
        <v>5</v>
      </c>
      <c r="J446" s="23">
        <v>5</v>
      </c>
      <c r="K446" s="20"/>
      <c r="L446" s="20" t="s">
        <v>145</v>
      </c>
      <c r="M446" s="20">
        <v>74</v>
      </c>
      <c r="N446" s="20">
        <v>210</v>
      </c>
      <c r="O446" s="20">
        <v>4</v>
      </c>
      <c r="P446" s="20">
        <v>9</v>
      </c>
      <c r="Q446" s="21" t="s">
        <v>1686</v>
      </c>
      <c r="R446" s="20" t="s">
        <v>181</v>
      </c>
      <c r="S446" s="20" t="s">
        <v>148</v>
      </c>
      <c r="T446" s="20" t="s">
        <v>917</v>
      </c>
      <c r="U446" s="28"/>
    </row>
    <row r="447" s="7" customFormat="1" ht="83" customHeight="1" spans="1:21">
      <c r="A447" s="20">
        <f t="shared" ref="A447:A456" si="51">ROW()-5</f>
        <v>442</v>
      </c>
      <c r="B447" s="20" t="s">
        <v>64</v>
      </c>
      <c r="C447" s="20" t="s">
        <v>78</v>
      </c>
      <c r="D447" s="20" t="s">
        <v>82</v>
      </c>
      <c r="E447" s="20" t="s">
        <v>1687</v>
      </c>
      <c r="F447" s="21" t="s">
        <v>1688</v>
      </c>
      <c r="G447" s="20" t="s">
        <v>178</v>
      </c>
      <c r="H447" s="20" t="s">
        <v>1344</v>
      </c>
      <c r="I447" s="23">
        <f t="shared" si="45"/>
        <v>50</v>
      </c>
      <c r="J447" s="23">
        <v>50</v>
      </c>
      <c r="K447" s="20"/>
      <c r="L447" s="20" t="s">
        <v>145</v>
      </c>
      <c r="M447" s="20">
        <v>320</v>
      </c>
      <c r="N447" s="20">
        <v>410</v>
      </c>
      <c r="O447" s="20">
        <v>12</v>
      </c>
      <c r="P447" s="20">
        <v>23</v>
      </c>
      <c r="Q447" s="21" t="s">
        <v>1689</v>
      </c>
      <c r="R447" s="20" t="s">
        <v>181</v>
      </c>
      <c r="S447" s="20" t="s">
        <v>148</v>
      </c>
      <c r="T447" s="20" t="s">
        <v>917</v>
      </c>
      <c r="U447" s="28"/>
    </row>
    <row r="448" s="7" customFormat="1" ht="83" customHeight="1" spans="1:21">
      <c r="A448" s="20">
        <f t="shared" si="51"/>
        <v>443</v>
      </c>
      <c r="B448" s="20" t="s">
        <v>64</v>
      </c>
      <c r="C448" s="20" t="s">
        <v>78</v>
      </c>
      <c r="D448" s="20" t="s">
        <v>82</v>
      </c>
      <c r="E448" s="20" t="s">
        <v>1690</v>
      </c>
      <c r="F448" s="21" t="s">
        <v>1691</v>
      </c>
      <c r="G448" s="20" t="s">
        <v>178</v>
      </c>
      <c r="H448" s="20" t="s">
        <v>433</v>
      </c>
      <c r="I448" s="23">
        <f t="shared" si="45"/>
        <v>7.5</v>
      </c>
      <c r="J448" s="23">
        <v>7.5</v>
      </c>
      <c r="K448" s="20"/>
      <c r="L448" s="20" t="s">
        <v>145</v>
      </c>
      <c r="M448" s="20">
        <v>151</v>
      </c>
      <c r="N448" s="20">
        <v>410</v>
      </c>
      <c r="O448" s="20">
        <v>10</v>
      </c>
      <c r="P448" s="20">
        <v>27</v>
      </c>
      <c r="Q448" s="21" t="s">
        <v>1692</v>
      </c>
      <c r="R448" s="20" t="s">
        <v>181</v>
      </c>
      <c r="S448" s="20" t="s">
        <v>148</v>
      </c>
      <c r="T448" s="20" t="s">
        <v>917</v>
      </c>
      <c r="U448" s="28"/>
    </row>
    <row r="449" s="7" customFormat="1" ht="83" customHeight="1" spans="1:21">
      <c r="A449" s="20">
        <f t="shared" si="51"/>
        <v>444</v>
      </c>
      <c r="B449" s="20" t="s">
        <v>64</v>
      </c>
      <c r="C449" s="20" t="s">
        <v>78</v>
      </c>
      <c r="D449" s="20" t="s">
        <v>82</v>
      </c>
      <c r="E449" s="20" t="s">
        <v>1693</v>
      </c>
      <c r="F449" s="21" t="s">
        <v>1694</v>
      </c>
      <c r="G449" s="20" t="s">
        <v>178</v>
      </c>
      <c r="H449" s="20" t="s">
        <v>433</v>
      </c>
      <c r="I449" s="23">
        <f t="shared" si="45"/>
        <v>7.5</v>
      </c>
      <c r="J449" s="23">
        <v>7.5</v>
      </c>
      <c r="K449" s="20"/>
      <c r="L449" s="20" t="s">
        <v>145</v>
      </c>
      <c r="M449" s="20">
        <v>65</v>
      </c>
      <c r="N449" s="20">
        <v>178</v>
      </c>
      <c r="O449" s="20">
        <v>3</v>
      </c>
      <c r="P449" s="20">
        <v>9</v>
      </c>
      <c r="Q449" s="21" t="s">
        <v>1695</v>
      </c>
      <c r="R449" s="20" t="s">
        <v>181</v>
      </c>
      <c r="S449" s="20" t="s">
        <v>148</v>
      </c>
      <c r="T449" s="20" t="s">
        <v>917</v>
      </c>
      <c r="U449" s="28"/>
    </row>
    <row r="450" s="7" customFormat="1" ht="83" customHeight="1" spans="1:21">
      <c r="A450" s="20">
        <f t="shared" si="51"/>
        <v>445</v>
      </c>
      <c r="B450" s="20" t="s">
        <v>64</v>
      </c>
      <c r="C450" s="20" t="s">
        <v>78</v>
      </c>
      <c r="D450" s="20" t="s">
        <v>82</v>
      </c>
      <c r="E450" s="20" t="s">
        <v>1696</v>
      </c>
      <c r="F450" s="21" t="s">
        <v>1697</v>
      </c>
      <c r="G450" s="20" t="s">
        <v>178</v>
      </c>
      <c r="H450" s="20" t="s">
        <v>433</v>
      </c>
      <c r="I450" s="23">
        <f t="shared" si="45"/>
        <v>12.5</v>
      </c>
      <c r="J450" s="23">
        <v>12.5</v>
      </c>
      <c r="K450" s="20"/>
      <c r="L450" s="20" t="s">
        <v>145</v>
      </c>
      <c r="M450" s="20">
        <v>99</v>
      </c>
      <c r="N450" s="20">
        <v>265</v>
      </c>
      <c r="O450" s="20">
        <v>9</v>
      </c>
      <c r="P450" s="20">
        <v>15</v>
      </c>
      <c r="Q450" s="21" t="s">
        <v>1698</v>
      </c>
      <c r="R450" s="20" t="s">
        <v>181</v>
      </c>
      <c r="S450" s="20" t="s">
        <v>148</v>
      </c>
      <c r="T450" s="20" t="s">
        <v>917</v>
      </c>
      <c r="U450" s="28"/>
    </row>
    <row r="451" s="7" customFormat="1" ht="91" customHeight="1" spans="1:21">
      <c r="A451" s="20">
        <f t="shared" si="51"/>
        <v>446</v>
      </c>
      <c r="B451" s="20" t="s">
        <v>64</v>
      </c>
      <c r="C451" s="22" t="s">
        <v>78</v>
      </c>
      <c r="D451" s="22" t="s">
        <v>82</v>
      </c>
      <c r="E451" s="20" t="s">
        <v>1699</v>
      </c>
      <c r="F451" s="21" t="s">
        <v>1700</v>
      </c>
      <c r="G451" s="20" t="s">
        <v>178</v>
      </c>
      <c r="H451" s="22" t="s">
        <v>433</v>
      </c>
      <c r="I451" s="23">
        <f t="shared" si="45"/>
        <v>20</v>
      </c>
      <c r="J451" s="23">
        <v>20</v>
      </c>
      <c r="K451" s="20"/>
      <c r="L451" s="20" t="s">
        <v>145</v>
      </c>
      <c r="M451" s="20">
        <v>105</v>
      </c>
      <c r="N451" s="20">
        <v>297</v>
      </c>
      <c r="O451" s="20">
        <v>10</v>
      </c>
      <c r="P451" s="22">
        <v>29</v>
      </c>
      <c r="Q451" s="21" t="s">
        <v>1701</v>
      </c>
      <c r="R451" s="20" t="s">
        <v>181</v>
      </c>
      <c r="S451" s="20" t="s">
        <v>148</v>
      </c>
      <c r="T451" s="20" t="s">
        <v>925</v>
      </c>
      <c r="U451" s="20"/>
    </row>
    <row r="452" s="7" customFormat="1" ht="102" customHeight="1" spans="1:21">
      <c r="A452" s="20">
        <f t="shared" si="51"/>
        <v>447</v>
      </c>
      <c r="B452" s="20" t="s">
        <v>64</v>
      </c>
      <c r="C452" s="22" t="s">
        <v>78</v>
      </c>
      <c r="D452" s="22" t="s">
        <v>82</v>
      </c>
      <c r="E452" s="20" t="s">
        <v>1702</v>
      </c>
      <c r="F452" s="21" t="s">
        <v>1703</v>
      </c>
      <c r="G452" s="20" t="s">
        <v>178</v>
      </c>
      <c r="H452" s="22" t="s">
        <v>437</v>
      </c>
      <c r="I452" s="23">
        <f t="shared" si="45"/>
        <v>30</v>
      </c>
      <c r="J452" s="23">
        <v>30</v>
      </c>
      <c r="K452" s="20"/>
      <c r="L452" s="20" t="s">
        <v>145</v>
      </c>
      <c r="M452" s="20">
        <v>396</v>
      </c>
      <c r="N452" s="20">
        <v>1046</v>
      </c>
      <c r="O452" s="20">
        <v>31</v>
      </c>
      <c r="P452" s="22">
        <v>80</v>
      </c>
      <c r="Q452" s="21" t="s">
        <v>1704</v>
      </c>
      <c r="R452" s="20" t="s">
        <v>181</v>
      </c>
      <c r="S452" s="20" t="s">
        <v>148</v>
      </c>
      <c r="T452" s="20" t="s">
        <v>925</v>
      </c>
      <c r="U452" s="20"/>
    </row>
    <row r="453" s="7" customFormat="1" ht="98" customHeight="1" spans="1:21">
      <c r="A453" s="20">
        <f t="shared" si="51"/>
        <v>448</v>
      </c>
      <c r="B453" s="20" t="s">
        <v>64</v>
      </c>
      <c r="C453" s="20" t="s">
        <v>78</v>
      </c>
      <c r="D453" s="20" t="s">
        <v>82</v>
      </c>
      <c r="E453" s="20" t="s">
        <v>1705</v>
      </c>
      <c r="F453" s="21" t="s">
        <v>1706</v>
      </c>
      <c r="G453" s="20" t="s">
        <v>272</v>
      </c>
      <c r="H453" s="20" t="s">
        <v>602</v>
      </c>
      <c r="I453" s="23">
        <f t="shared" si="45"/>
        <v>18.75</v>
      </c>
      <c r="J453" s="23">
        <v>18.75</v>
      </c>
      <c r="K453" s="20">
        <v>0</v>
      </c>
      <c r="L453" s="20" t="s">
        <v>145</v>
      </c>
      <c r="M453" s="20">
        <v>125</v>
      </c>
      <c r="N453" s="20">
        <v>344</v>
      </c>
      <c r="O453" s="20">
        <v>3</v>
      </c>
      <c r="P453" s="20">
        <v>3</v>
      </c>
      <c r="Q453" s="21" t="s">
        <v>1707</v>
      </c>
      <c r="R453" s="20" t="s">
        <v>275</v>
      </c>
      <c r="S453" s="20" t="s">
        <v>148</v>
      </c>
      <c r="T453" s="20" t="s">
        <v>276</v>
      </c>
      <c r="U453" s="28"/>
    </row>
    <row r="454" s="7" customFormat="1" ht="98" customHeight="1" spans="1:21">
      <c r="A454" s="20">
        <f t="shared" si="51"/>
        <v>449</v>
      </c>
      <c r="B454" s="20" t="s">
        <v>64</v>
      </c>
      <c r="C454" s="20" t="s">
        <v>78</v>
      </c>
      <c r="D454" s="20" t="s">
        <v>82</v>
      </c>
      <c r="E454" s="20" t="s">
        <v>1708</v>
      </c>
      <c r="F454" s="21" t="s">
        <v>1709</v>
      </c>
      <c r="G454" s="20" t="s">
        <v>272</v>
      </c>
      <c r="H454" s="20" t="s">
        <v>602</v>
      </c>
      <c r="I454" s="23">
        <f t="shared" si="45"/>
        <v>2.5</v>
      </c>
      <c r="J454" s="23">
        <v>2.5</v>
      </c>
      <c r="K454" s="20">
        <v>0</v>
      </c>
      <c r="L454" s="20" t="s">
        <v>145</v>
      </c>
      <c r="M454" s="20">
        <v>47</v>
      </c>
      <c r="N454" s="20">
        <v>118</v>
      </c>
      <c r="O454" s="20">
        <v>0</v>
      </c>
      <c r="P454" s="20">
        <v>0</v>
      </c>
      <c r="Q454" s="21" t="s">
        <v>1710</v>
      </c>
      <c r="R454" s="20" t="s">
        <v>275</v>
      </c>
      <c r="S454" s="20" t="s">
        <v>148</v>
      </c>
      <c r="T454" s="20" t="s">
        <v>276</v>
      </c>
      <c r="U454" s="28"/>
    </row>
    <row r="455" s="7" customFormat="1" ht="98" customHeight="1" spans="1:21">
      <c r="A455" s="20">
        <f t="shared" si="51"/>
        <v>450</v>
      </c>
      <c r="B455" s="20" t="s">
        <v>64</v>
      </c>
      <c r="C455" s="20" t="s">
        <v>78</v>
      </c>
      <c r="D455" s="20" t="s">
        <v>82</v>
      </c>
      <c r="E455" s="20" t="s">
        <v>1711</v>
      </c>
      <c r="F455" s="21" t="s">
        <v>1712</v>
      </c>
      <c r="G455" s="20" t="s">
        <v>272</v>
      </c>
      <c r="H455" s="20" t="s">
        <v>273</v>
      </c>
      <c r="I455" s="23">
        <f t="shared" ref="I455:I477" si="52">J455+K455</f>
        <v>27.5</v>
      </c>
      <c r="J455" s="23">
        <v>27.5</v>
      </c>
      <c r="K455" s="20">
        <v>0</v>
      </c>
      <c r="L455" s="20" t="s">
        <v>145</v>
      </c>
      <c r="M455" s="20">
        <v>260</v>
      </c>
      <c r="N455" s="20">
        <v>721</v>
      </c>
      <c r="O455" s="20">
        <v>11</v>
      </c>
      <c r="P455" s="20">
        <v>20</v>
      </c>
      <c r="Q455" s="21" t="s">
        <v>1713</v>
      </c>
      <c r="R455" s="20" t="s">
        <v>275</v>
      </c>
      <c r="S455" s="20" t="s">
        <v>148</v>
      </c>
      <c r="T455" s="20" t="s">
        <v>276</v>
      </c>
      <c r="U455" s="28"/>
    </row>
    <row r="456" s="7" customFormat="1" ht="101" customHeight="1" spans="1:21">
      <c r="A456" s="20">
        <f t="shared" si="51"/>
        <v>451</v>
      </c>
      <c r="B456" s="20" t="s">
        <v>64</v>
      </c>
      <c r="C456" s="20" t="s">
        <v>78</v>
      </c>
      <c r="D456" s="20" t="s">
        <v>82</v>
      </c>
      <c r="E456" s="20" t="s">
        <v>1714</v>
      </c>
      <c r="F456" s="21" t="s">
        <v>1715</v>
      </c>
      <c r="G456" s="20" t="s">
        <v>272</v>
      </c>
      <c r="H456" s="20" t="s">
        <v>1716</v>
      </c>
      <c r="I456" s="23">
        <f t="shared" si="52"/>
        <v>25</v>
      </c>
      <c r="J456" s="23">
        <v>25</v>
      </c>
      <c r="K456" s="20">
        <v>0</v>
      </c>
      <c r="L456" s="20" t="s">
        <v>145</v>
      </c>
      <c r="M456" s="20">
        <v>88</v>
      </c>
      <c r="N456" s="20">
        <v>219</v>
      </c>
      <c r="O456" s="20">
        <v>6</v>
      </c>
      <c r="P456" s="20">
        <v>12</v>
      </c>
      <c r="Q456" s="21" t="s">
        <v>1717</v>
      </c>
      <c r="R456" s="20" t="s">
        <v>275</v>
      </c>
      <c r="S456" s="20" t="s">
        <v>148</v>
      </c>
      <c r="T456" s="20" t="s">
        <v>652</v>
      </c>
      <c r="U456" s="28"/>
    </row>
    <row r="457" s="7" customFormat="1" ht="104" customHeight="1" spans="1:21">
      <c r="A457" s="20">
        <f t="shared" ref="A457:A466" si="53">ROW()-5</f>
        <v>452</v>
      </c>
      <c r="B457" s="20" t="s">
        <v>64</v>
      </c>
      <c r="C457" s="20" t="s">
        <v>78</v>
      </c>
      <c r="D457" s="20" t="s">
        <v>82</v>
      </c>
      <c r="E457" s="20" t="s">
        <v>1718</v>
      </c>
      <c r="F457" s="21" t="s">
        <v>1719</v>
      </c>
      <c r="G457" s="20" t="s">
        <v>171</v>
      </c>
      <c r="H457" s="20" t="s">
        <v>1462</v>
      </c>
      <c r="I457" s="23">
        <f t="shared" si="52"/>
        <v>25.75</v>
      </c>
      <c r="J457" s="23">
        <v>25.75</v>
      </c>
      <c r="K457" s="20"/>
      <c r="L457" s="20" t="s">
        <v>145</v>
      </c>
      <c r="M457" s="20">
        <v>15</v>
      </c>
      <c r="N457" s="20">
        <v>36</v>
      </c>
      <c r="O457" s="20">
        <v>1</v>
      </c>
      <c r="P457" s="20">
        <v>1</v>
      </c>
      <c r="Q457" s="21" t="s">
        <v>1720</v>
      </c>
      <c r="R457" s="20" t="s">
        <v>174</v>
      </c>
      <c r="S457" s="20" t="s">
        <v>148</v>
      </c>
      <c r="T457" s="20" t="s">
        <v>256</v>
      </c>
      <c r="U457" s="28"/>
    </row>
    <row r="458" s="7" customFormat="1" ht="97" customHeight="1" spans="1:21">
      <c r="A458" s="20">
        <f t="shared" si="53"/>
        <v>453</v>
      </c>
      <c r="B458" s="20" t="s">
        <v>64</v>
      </c>
      <c r="C458" s="20" t="s">
        <v>78</v>
      </c>
      <c r="D458" s="20" t="s">
        <v>82</v>
      </c>
      <c r="E458" s="20" t="s">
        <v>1721</v>
      </c>
      <c r="F458" s="21" t="s">
        <v>1722</v>
      </c>
      <c r="G458" s="20" t="s">
        <v>370</v>
      </c>
      <c r="H458" s="20" t="s">
        <v>1723</v>
      </c>
      <c r="I458" s="23">
        <f t="shared" si="52"/>
        <v>39</v>
      </c>
      <c r="J458" s="23">
        <v>39</v>
      </c>
      <c r="K458" s="20"/>
      <c r="L458" s="20" t="s">
        <v>145</v>
      </c>
      <c r="M458" s="20">
        <v>69</v>
      </c>
      <c r="N458" s="20">
        <v>113</v>
      </c>
      <c r="O458" s="20">
        <v>10</v>
      </c>
      <c r="P458" s="20">
        <v>18</v>
      </c>
      <c r="Q458" s="21" t="s">
        <v>1724</v>
      </c>
      <c r="R458" s="20" t="s">
        <v>373</v>
      </c>
      <c r="S458" s="20" t="s">
        <v>148</v>
      </c>
      <c r="T458" s="20" t="s">
        <v>387</v>
      </c>
      <c r="U458" s="20"/>
    </row>
    <row r="459" s="7" customFormat="1" ht="99" customHeight="1" spans="1:21">
      <c r="A459" s="20">
        <f t="shared" si="53"/>
        <v>454</v>
      </c>
      <c r="B459" s="20" t="s">
        <v>64</v>
      </c>
      <c r="C459" s="20" t="s">
        <v>78</v>
      </c>
      <c r="D459" s="20" t="s">
        <v>82</v>
      </c>
      <c r="E459" s="20" t="s">
        <v>1725</v>
      </c>
      <c r="F459" s="21" t="s">
        <v>1726</v>
      </c>
      <c r="G459" s="20" t="s">
        <v>279</v>
      </c>
      <c r="H459" s="20" t="s">
        <v>1727</v>
      </c>
      <c r="I459" s="23">
        <f t="shared" si="52"/>
        <v>30</v>
      </c>
      <c r="J459" s="23">
        <v>30</v>
      </c>
      <c r="K459" s="20"/>
      <c r="L459" s="20" t="s">
        <v>145</v>
      </c>
      <c r="M459" s="20">
        <v>309</v>
      </c>
      <c r="N459" s="20">
        <v>863</v>
      </c>
      <c r="O459" s="20">
        <v>10</v>
      </c>
      <c r="P459" s="20">
        <v>17</v>
      </c>
      <c r="Q459" s="21" t="s">
        <v>1728</v>
      </c>
      <c r="R459" s="20" t="s">
        <v>282</v>
      </c>
      <c r="S459" s="20" t="s">
        <v>148</v>
      </c>
      <c r="T459" s="20" t="s">
        <v>608</v>
      </c>
      <c r="U459" s="20"/>
    </row>
    <row r="460" s="7" customFormat="1" ht="81" customHeight="1" spans="1:21">
      <c r="A460" s="20">
        <f t="shared" si="53"/>
        <v>455</v>
      </c>
      <c r="B460" s="20" t="s">
        <v>64</v>
      </c>
      <c r="C460" s="20" t="s">
        <v>78</v>
      </c>
      <c r="D460" s="20" t="s">
        <v>82</v>
      </c>
      <c r="E460" s="20" t="s">
        <v>1729</v>
      </c>
      <c r="F460" s="21" t="s">
        <v>1730</v>
      </c>
      <c r="G460" s="20" t="s">
        <v>279</v>
      </c>
      <c r="H460" s="20" t="s">
        <v>1567</v>
      </c>
      <c r="I460" s="23">
        <f t="shared" si="52"/>
        <v>28.75</v>
      </c>
      <c r="J460" s="23">
        <v>28.75</v>
      </c>
      <c r="K460" s="20"/>
      <c r="L460" s="20" t="s">
        <v>145</v>
      </c>
      <c r="M460" s="28">
        <v>224</v>
      </c>
      <c r="N460" s="28">
        <v>614</v>
      </c>
      <c r="O460" s="28">
        <v>24</v>
      </c>
      <c r="P460" s="28">
        <v>56</v>
      </c>
      <c r="Q460" s="21" t="s">
        <v>1731</v>
      </c>
      <c r="R460" s="20" t="s">
        <v>282</v>
      </c>
      <c r="S460" s="20" t="s">
        <v>148</v>
      </c>
      <c r="T460" s="20" t="s">
        <v>608</v>
      </c>
      <c r="U460" s="20"/>
    </row>
    <row r="461" s="7" customFormat="1" ht="81" customHeight="1" spans="1:21">
      <c r="A461" s="20">
        <f t="shared" si="53"/>
        <v>456</v>
      </c>
      <c r="B461" s="20" t="s">
        <v>64</v>
      </c>
      <c r="C461" s="20" t="s">
        <v>78</v>
      </c>
      <c r="D461" s="20" t="s">
        <v>82</v>
      </c>
      <c r="E461" s="20" t="s">
        <v>1732</v>
      </c>
      <c r="F461" s="21" t="s">
        <v>1733</v>
      </c>
      <c r="G461" s="20" t="s">
        <v>279</v>
      </c>
      <c r="H461" s="20" t="s">
        <v>606</v>
      </c>
      <c r="I461" s="23">
        <f t="shared" si="52"/>
        <v>27.8</v>
      </c>
      <c r="J461" s="23">
        <v>27.8</v>
      </c>
      <c r="K461" s="20"/>
      <c r="L461" s="20" t="s">
        <v>145</v>
      </c>
      <c r="M461" s="20">
        <v>320</v>
      </c>
      <c r="N461" s="20">
        <v>790</v>
      </c>
      <c r="O461" s="20">
        <v>12</v>
      </c>
      <c r="P461" s="20">
        <v>23</v>
      </c>
      <c r="Q461" s="21" t="s">
        <v>1734</v>
      </c>
      <c r="R461" s="20" t="s">
        <v>282</v>
      </c>
      <c r="S461" s="20" t="s">
        <v>148</v>
      </c>
      <c r="T461" s="20" t="s">
        <v>608</v>
      </c>
      <c r="U461" s="20"/>
    </row>
    <row r="462" s="7" customFormat="1" ht="81" customHeight="1" spans="1:21">
      <c r="A462" s="20">
        <f t="shared" si="53"/>
        <v>457</v>
      </c>
      <c r="B462" s="20" t="s">
        <v>64</v>
      </c>
      <c r="C462" s="20" t="s">
        <v>78</v>
      </c>
      <c r="D462" s="20" t="s">
        <v>82</v>
      </c>
      <c r="E462" s="20" t="s">
        <v>1735</v>
      </c>
      <c r="F462" s="21" t="s">
        <v>1736</v>
      </c>
      <c r="G462" s="20" t="s">
        <v>279</v>
      </c>
      <c r="H462" s="20" t="s">
        <v>1619</v>
      </c>
      <c r="I462" s="23">
        <f t="shared" si="52"/>
        <v>25</v>
      </c>
      <c r="J462" s="23">
        <v>25</v>
      </c>
      <c r="K462" s="20"/>
      <c r="L462" s="20" t="s">
        <v>145</v>
      </c>
      <c r="M462" s="20">
        <v>588</v>
      </c>
      <c r="N462" s="20">
        <v>1502</v>
      </c>
      <c r="O462" s="20">
        <v>11</v>
      </c>
      <c r="P462" s="20">
        <v>19</v>
      </c>
      <c r="Q462" s="21" t="s">
        <v>1737</v>
      </c>
      <c r="R462" s="20" t="s">
        <v>282</v>
      </c>
      <c r="S462" s="20" t="s">
        <v>148</v>
      </c>
      <c r="T462" s="20" t="s">
        <v>608</v>
      </c>
      <c r="U462" s="20"/>
    </row>
    <row r="463" s="7" customFormat="1" ht="81" customHeight="1" spans="1:21">
      <c r="A463" s="20">
        <f t="shared" si="53"/>
        <v>458</v>
      </c>
      <c r="B463" s="20" t="s">
        <v>64</v>
      </c>
      <c r="C463" s="20" t="s">
        <v>78</v>
      </c>
      <c r="D463" s="20" t="s">
        <v>82</v>
      </c>
      <c r="E463" s="20" t="s">
        <v>1738</v>
      </c>
      <c r="F463" s="21" t="s">
        <v>1739</v>
      </c>
      <c r="G463" s="20" t="s">
        <v>692</v>
      </c>
      <c r="H463" s="22" t="s">
        <v>1070</v>
      </c>
      <c r="I463" s="23">
        <f t="shared" si="52"/>
        <v>25</v>
      </c>
      <c r="J463" s="23">
        <v>25</v>
      </c>
      <c r="K463" s="28">
        <v>0</v>
      </c>
      <c r="L463" s="28" t="s">
        <v>145</v>
      </c>
      <c r="M463" s="20">
        <v>104</v>
      </c>
      <c r="N463" s="20">
        <v>316</v>
      </c>
      <c r="O463" s="20">
        <v>3</v>
      </c>
      <c r="P463" s="20">
        <v>3</v>
      </c>
      <c r="Q463" s="21" t="s">
        <v>1740</v>
      </c>
      <c r="R463" s="20" t="s">
        <v>694</v>
      </c>
      <c r="S463" s="20" t="s">
        <v>148</v>
      </c>
      <c r="T463" s="20" t="s">
        <v>320</v>
      </c>
      <c r="U463" s="20"/>
    </row>
    <row r="464" s="7" customFormat="1" ht="81" customHeight="1" spans="1:21">
      <c r="A464" s="20">
        <f t="shared" si="53"/>
        <v>459</v>
      </c>
      <c r="B464" s="20" t="s">
        <v>64</v>
      </c>
      <c r="C464" s="22" t="s">
        <v>78</v>
      </c>
      <c r="D464" s="22" t="s">
        <v>82</v>
      </c>
      <c r="E464" s="20" t="s">
        <v>1741</v>
      </c>
      <c r="F464" s="21" t="s">
        <v>1742</v>
      </c>
      <c r="G464" s="20" t="s">
        <v>185</v>
      </c>
      <c r="H464" s="22" t="s">
        <v>967</v>
      </c>
      <c r="I464" s="23">
        <f t="shared" si="52"/>
        <v>12.5</v>
      </c>
      <c r="J464" s="23">
        <v>12.5</v>
      </c>
      <c r="K464" s="20"/>
      <c r="L464" s="20" t="s">
        <v>145</v>
      </c>
      <c r="M464" s="28">
        <v>126</v>
      </c>
      <c r="N464" s="28">
        <v>344</v>
      </c>
      <c r="O464" s="28">
        <v>6</v>
      </c>
      <c r="P464" s="28">
        <v>12</v>
      </c>
      <c r="Q464" s="21" t="s">
        <v>1743</v>
      </c>
      <c r="R464" s="20" t="s">
        <v>188</v>
      </c>
      <c r="S464" s="20" t="s">
        <v>148</v>
      </c>
      <c r="T464" s="20" t="s">
        <v>189</v>
      </c>
      <c r="U464" s="28"/>
    </row>
    <row r="465" s="7" customFormat="1" ht="82" customHeight="1" spans="1:21">
      <c r="A465" s="20">
        <f t="shared" si="53"/>
        <v>460</v>
      </c>
      <c r="B465" s="20" t="s">
        <v>64</v>
      </c>
      <c r="C465" s="22" t="s">
        <v>78</v>
      </c>
      <c r="D465" s="22" t="s">
        <v>82</v>
      </c>
      <c r="E465" s="20" t="s">
        <v>1744</v>
      </c>
      <c r="F465" s="21" t="s">
        <v>1745</v>
      </c>
      <c r="G465" s="20" t="s">
        <v>185</v>
      </c>
      <c r="H465" s="20" t="s">
        <v>1746</v>
      </c>
      <c r="I465" s="23">
        <f t="shared" si="52"/>
        <v>10</v>
      </c>
      <c r="J465" s="23">
        <v>10</v>
      </c>
      <c r="K465" s="20"/>
      <c r="L465" s="20" t="s">
        <v>145</v>
      </c>
      <c r="M465" s="20">
        <v>304</v>
      </c>
      <c r="N465" s="28">
        <v>809</v>
      </c>
      <c r="O465" s="28">
        <v>22</v>
      </c>
      <c r="P465" s="28">
        <v>34</v>
      </c>
      <c r="Q465" s="21" t="s">
        <v>1747</v>
      </c>
      <c r="R465" s="20" t="s">
        <v>188</v>
      </c>
      <c r="S465" s="20" t="s">
        <v>148</v>
      </c>
      <c r="T465" s="20" t="s">
        <v>189</v>
      </c>
      <c r="U465" s="28"/>
    </row>
    <row r="466" s="7" customFormat="1" ht="82" customHeight="1" spans="1:21">
      <c r="A466" s="20">
        <f t="shared" si="53"/>
        <v>461</v>
      </c>
      <c r="B466" s="20" t="s">
        <v>64</v>
      </c>
      <c r="C466" s="20" t="s">
        <v>78</v>
      </c>
      <c r="D466" s="20" t="s">
        <v>82</v>
      </c>
      <c r="E466" s="20" t="s">
        <v>1748</v>
      </c>
      <c r="F466" s="21" t="s">
        <v>1749</v>
      </c>
      <c r="G466" s="20" t="s">
        <v>185</v>
      </c>
      <c r="H466" s="20" t="s">
        <v>458</v>
      </c>
      <c r="I466" s="23">
        <f t="shared" si="52"/>
        <v>33</v>
      </c>
      <c r="J466" s="29">
        <v>33</v>
      </c>
      <c r="K466" s="28"/>
      <c r="L466" s="20" t="s">
        <v>145</v>
      </c>
      <c r="M466" s="28">
        <v>117</v>
      </c>
      <c r="N466" s="28">
        <v>284</v>
      </c>
      <c r="O466" s="28">
        <v>8</v>
      </c>
      <c r="P466" s="28">
        <v>21</v>
      </c>
      <c r="Q466" s="21" t="s">
        <v>1750</v>
      </c>
      <c r="R466" s="20" t="s">
        <v>188</v>
      </c>
      <c r="S466" s="20" t="s">
        <v>148</v>
      </c>
      <c r="T466" s="20" t="s">
        <v>189</v>
      </c>
      <c r="U466" s="28"/>
    </row>
    <row r="467" s="7" customFormat="1" ht="82" customHeight="1" spans="1:21">
      <c r="A467" s="20">
        <f t="shared" ref="A467:A477" si="54">ROW()-5</f>
        <v>462</v>
      </c>
      <c r="B467" s="20" t="s">
        <v>64</v>
      </c>
      <c r="C467" s="20" t="s">
        <v>78</v>
      </c>
      <c r="D467" s="20" t="s">
        <v>82</v>
      </c>
      <c r="E467" s="20" t="s">
        <v>1751</v>
      </c>
      <c r="F467" s="21" t="s">
        <v>1752</v>
      </c>
      <c r="G467" s="20" t="s">
        <v>185</v>
      </c>
      <c r="H467" s="20" t="s">
        <v>1753</v>
      </c>
      <c r="I467" s="23">
        <f t="shared" si="52"/>
        <v>52.5</v>
      </c>
      <c r="J467" s="29">
        <v>52.5</v>
      </c>
      <c r="K467" s="28"/>
      <c r="L467" s="20" t="s">
        <v>145</v>
      </c>
      <c r="M467" s="28">
        <v>355</v>
      </c>
      <c r="N467" s="28">
        <v>1002</v>
      </c>
      <c r="O467" s="28">
        <v>6</v>
      </c>
      <c r="P467" s="28">
        <v>7</v>
      </c>
      <c r="Q467" s="21" t="s">
        <v>1754</v>
      </c>
      <c r="R467" s="20" t="s">
        <v>188</v>
      </c>
      <c r="S467" s="20" t="s">
        <v>148</v>
      </c>
      <c r="T467" s="20" t="s">
        <v>189</v>
      </c>
      <c r="U467" s="28"/>
    </row>
    <row r="468" s="7" customFormat="1" ht="82" customHeight="1" spans="1:21">
      <c r="A468" s="20">
        <f t="shared" si="54"/>
        <v>463</v>
      </c>
      <c r="B468" s="20" t="s">
        <v>64</v>
      </c>
      <c r="C468" s="20" t="s">
        <v>78</v>
      </c>
      <c r="D468" s="20" t="s">
        <v>82</v>
      </c>
      <c r="E468" s="20" t="s">
        <v>1755</v>
      </c>
      <c r="F468" s="21" t="s">
        <v>1756</v>
      </c>
      <c r="G468" s="20" t="s">
        <v>185</v>
      </c>
      <c r="H468" s="20" t="s">
        <v>1757</v>
      </c>
      <c r="I468" s="23">
        <f t="shared" si="52"/>
        <v>37.5</v>
      </c>
      <c r="J468" s="29">
        <v>37.5</v>
      </c>
      <c r="K468" s="28"/>
      <c r="L468" s="20" t="s">
        <v>145</v>
      </c>
      <c r="M468" s="28">
        <v>276</v>
      </c>
      <c r="N468" s="28">
        <v>768</v>
      </c>
      <c r="O468" s="28">
        <v>8</v>
      </c>
      <c r="P468" s="28">
        <v>9</v>
      </c>
      <c r="Q468" s="21" t="s">
        <v>1758</v>
      </c>
      <c r="R468" s="20" t="s">
        <v>188</v>
      </c>
      <c r="S468" s="20" t="s">
        <v>148</v>
      </c>
      <c r="T468" s="20" t="s">
        <v>189</v>
      </c>
      <c r="U468" s="28"/>
    </row>
    <row r="469" ht="104.4" spans="1:21">
      <c r="A469" s="20">
        <f t="shared" si="54"/>
        <v>464</v>
      </c>
      <c r="B469" s="33" t="s">
        <v>64</v>
      </c>
      <c r="C469" s="33" t="s">
        <v>78</v>
      </c>
      <c r="D469" s="33" t="s">
        <v>82</v>
      </c>
      <c r="E469" s="33" t="s">
        <v>1759</v>
      </c>
      <c r="F469" s="34" t="s">
        <v>1760</v>
      </c>
      <c r="G469" s="33" t="s">
        <v>279</v>
      </c>
      <c r="H469" s="33" t="s">
        <v>280</v>
      </c>
      <c r="I469" s="23">
        <f t="shared" si="52"/>
        <v>3.3</v>
      </c>
      <c r="J469" s="36">
        <v>3.3</v>
      </c>
      <c r="K469" s="33"/>
      <c r="L469" s="33" t="s">
        <v>145</v>
      </c>
      <c r="M469" s="33">
        <v>454</v>
      </c>
      <c r="N469" s="33">
        <v>1117</v>
      </c>
      <c r="O469" s="33">
        <v>13</v>
      </c>
      <c r="P469" s="33">
        <v>29</v>
      </c>
      <c r="Q469" s="34" t="s">
        <v>1761</v>
      </c>
      <c r="R469" s="33" t="s">
        <v>282</v>
      </c>
      <c r="S469" s="33" t="s">
        <v>148</v>
      </c>
      <c r="T469" s="33" t="s">
        <v>392</v>
      </c>
      <c r="U469" s="20"/>
    </row>
    <row r="470" ht="74" customHeight="1" spans="1:21">
      <c r="A470" s="20">
        <f t="shared" si="54"/>
        <v>465</v>
      </c>
      <c r="B470" s="20" t="s">
        <v>64</v>
      </c>
      <c r="C470" s="20" t="s">
        <v>78</v>
      </c>
      <c r="D470" s="20" t="s">
        <v>82</v>
      </c>
      <c r="E470" s="20" t="s">
        <v>1762</v>
      </c>
      <c r="F470" s="21" t="s">
        <v>1763</v>
      </c>
      <c r="G470" s="20" t="s">
        <v>185</v>
      </c>
      <c r="H470" s="20" t="s">
        <v>977</v>
      </c>
      <c r="I470" s="23">
        <f t="shared" si="52"/>
        <v>5.2</v>
      </c>
      <c r="J470" s="29">
        <v>5.2</v>
      </c>
      <c r="K470" s="28"/>
      <c r="L470" s="20" t="s">
        <v>145</v>
      </c>
      <c r="M470" s="20">
        <v>36</v>
      </c>
      <c r="N470" s="20">
        <v>99</v>
      </c>
      <c r="O470" s="28">
        <v>2</v>
      </c>
      <c r="P470" s="28">
        <v>7</v>
      </c>
      <c r="Q470" s="21" t="s">
        <v>1764</v>
      </c>
      <c r="R470" s="20" t="s">
        <v>188</v>
      </c>
      <c r="S470" s="20" t="s">
        <v>148</v>
      </c>
      <c r="T470" s="20" t="s">
        <v>189</v>
      </c>
      <c r="U470" s="20"/>
    </row>
    <row r="471" ht="79" customHeight="1" spans="1:21">
      <c r="A471" s="20">
        <f t="shared" si="54"/>
        <v>466</v>
      </c>
      <c r="B471" s="20" t="s">
        <v>64</v>
      </c>
      <c r="C471" s="20" t="s">
        <v>78</v>
      </c>
      <c r="D471" s="20" t="s">
        <v>82</v>
      </c>
      <c r="E471" s="20" t="s">
        <v>1765</v>
      </c>
      <c r="F471" s="21" t="s">
        <v>1766</v>
      </c>
      <c r="G471" s="20" t="s">
        <v>343</v>
      </c>
      <c r="H471" s="20" t="s">
        <v>1657</v>
      </c>
      <c r="I471" s="23">
        <f t="shared" si="52"/>
        <v>26</v>
      </c>
      <c r="J471" s="29">
        <v>26</v>
      </c>
      <c r="K471" s="28"/>
      <c r="L471" s="20" t="s">
        <v>145</v>
      </c>
      <c r="M471" s="28">
        <v>55</v>
      </c>
      <c r="N471" s="28">
        <v>166</v>
      </c>
      <c r="O471" s="28">
        <v>4</v>
      </c>
      <c r="P471" s="28">
        <v>6</v>
      </c>
      <c r="Q471" s="21" t="s">
        <v>1767</v>
      </c>
      <c r="R471" s="20" t="s">
        <v>346</v>
      </c>
      <c r="S471" s="20" t="s">
        <v>148</v>
      </c>
      <c r="T471" s="20" t="s">
        <v>570</v>
      </c>
      <c r="U471" s="20"/>
    </row>
    <row r="472" ht="104.4" spans="1:21">
      <c r="A472" s="20">
        <f t="shared" si="54"/>
        <v>467</v>
      </c>
      <c r="B472" s="20" t="s">
        <v>64</v>
      </c>
      <c r="C472" s="20" t="s">
        <v>78</v>
      </c>
      <c r="D472" s="20" t="s">
        <v>82</v>
      </c>
      <c r="E472" s="20" t="s">
        <v>1768</v>
      </c>
      <c r="F472" s="21" t="s">
        <v>1769</v>
      </c>
      <c r="G472" s="20" t="s">
        <v>178</v>
      </c>
      <c r="H472" s="20" t="s">
        <v>928</v>
      </c>
      <c r="I472" s="23">
        <f t="shared" si="52"/>
        <v>22.5</v>
      </c>
      <c r="J472" s="23">
        <v>22.5</v>
      </c>
      <c r="K472" s="20"/>
      <c r="L472" s="20" t="s">
        <v>145</v>
      </c>
      <c r="M472" s="20">
        <v>99</v>
      </c>
      <c r="N472" s="20">
        <v>276</v>
      </c>
      <c r="O472" s="20">
        <v>7</v>
      </c>
      <c r="P472" s="20">
        <v>19</v>
      </c>
      <c r="Q472" s="21" t="s">
        <v>1770</v>
      </c>
      <c r="R472" s="20" t="s">
        <v>181</v>
      </c>
      <c r="S472" s="20" t="s">
        <v>148</v>
      </c>
      <c r="T472" s="20" t="s">
        <v>396</v>
      </c>
      <c r="U472" s="20"/>
    </row>
    <row r="473" s="7" customFormat="1" ht="162.45" customHeight="1" spans="1:21">
      <c r="A473" s="20">
        <f t="shared" si="54"/>
        <v>468</v>
      </c>
      <c r="B473" s="20" t="s">
        <v>86</v>
      </c>
      <c r="C473" s="20" t="s">
        <v>86</v>
      </c>
      <c r="D473" s="20" t="s">
        <v>87</v>
      </c>
      <c r="E473" s="20" t="s">
        <v>1771</v>
      </c>
      <c r="F473" s="21" t="s">
        <v>1772</v>
      </c>
      <c r="G473" s="20" t="s">
        <v>185</v>
      </c>
      <c r="H473" s="20" t="s">
        <v>1773</v>
      </c>
      <c r="I473" s="23">
        <f t="shared" si="52"/>
        <v>16.5</v>
      </c>
      <c r="J473" s="23">
        <v>16.5</v>
      </c>
      <c r="K473" s="28"/>
      <c r="L473" s="28" t="s">
        <v>1774</v>
      </c>
      <c r="M473" s="20">
        <v>233</v>
      </c>
      <c r="N473" s="20">
        <v>758</v>
      </c>
      <c r="O473" s="20">
        <v>233</v>
      </c>
      <c r="P473" s="20">
        <v>758</v>
      </c>
      <c r="Q473" s="21" t="s">
        <v>1775</v>
      </c>
      <c r="R473" s="20" t="s">
        <v>188</v>
      </c>
      <c r="S473" s="20" t="s">
        <v>1776</v>
      </c>
      <c r="T473" s="20" t="s">
        <v>1777</v>
      </c>
      <c r="U473" s="28"/>
    </row>
    <row r="474" s="7" customFormat="1" ht="115" customHeight="1" spans="1:21">
      <c r="A474" s="20">
        <f t="shared" si="54"/>
        <v>469</v>
      </c>
      <c r="B474" s="20" t="s">
        <v>86</v>
      </c>
      <c r="C474" s="20" t="s">
        <v>86</v>
      </c>
      <c r="D474" s="20" t="s">
        <v>88</v>
      </c>
      <c r="E474" s="20" t="s">
        <v>1778</v>
      </c>
      <c r="F474" s="21" t="s">
        <v>1779</v>
      </c>
      <c r="G474" s="20" t="s">
        <v>185</v>
      </c>
      <c r="H474" s="20" t="s">
        <v>1773</v>
      </c>
      <c r="I474" s="23">
        <f t="shared" si="52"/>
        <v>56</v>
      </c>
      <c r="J474" s="23">
        <v>56</v>
      </c>
      <c r="K474" s="28"/>
      <c r="L474" s="28" t="s">
        <v>1774</v>
      </c>
      <c r="M474" s="28">
        <v>542</v>
      </c>
      <c r="N474" s="28">
        <v>1623</v>
      </c>
      <c r="O474" s="28">
        <v>542</v>
      </c>
      <c r="P474" s="28">
        <v>1623</v>
      </c>
      <c r="Q474" s="21" t="s">
        <v>1780</v>
      </c>
      <c r="R474" s="20" t="s">
        <v>188</v>
      </c>
      <c r="S474" s="20" t="s">
        <v>1776</v>
      </c>
      <c r="T474" s="20" t="s">
        <v>1781</v>
      </c>
      <c r="U474" s="28"/>
    </row>
    <row r="475" ht="94" customHeight="1" spans="1:21">
      <c r="A475" s="20">
        <f t="shared" si="54"/>
        <v>470</v>
      </c>
      <c r="B475" s="20" t="s">
        <v>90</v>
      </c>
      <c r="C475" s="22" t="s">
        <v>93</v>
      </c>
      <c r="D475" s="22" t="s">
        <v>94</v>
      </c>
      <c r="E475" s="20" t="s">
        <v>1782</v>
      </c>
      <c r="F475" s="21" t="s">
        <v>1783</v>
      </c>
      <c r="G475" s="20" t="s">
        <v>448</v>
      </c>
      <c r="H475" s="22" t="s">
        <v>249</v>
      </c>
      <c r="I475" s="23">
        <f t="shared" si="52"/>
        <v>42</v>
      </c>
      <c r="J475" s="23">
        <v>42</v>
      </c>
      <c r="K475" s="20"/>
      <c r="L475" s="20" t="s">
        <v>145</v>
      </c>
      <c r="M475" s="20">
        <v>140</v>
      </c>
      <c r="N475" s="20">
        <v>140</v>
      </c>
      <c r="O475" s="20">
        <v>140</v>
      </c>
      <c r="P475" s="22">
        <v>140</v>
      </c>
      <c r="Q475" s="21" t="s">
        <v>1784</v>
      </c>
      <c r="R475" s="20" t="s">
        <v>148</v>
      </c>
      <c r="S475" s="20" t="s">
        <v>148</v>
      </c>
      <c r="T475" s="20" t="s">
        <v>189</v>
      </c>
      <c r="U475" s="28"/>
    </row>
    <row r="476" ht="124" customHeight="1" spans="1:21">
      <c r="A476" s="20">
        <f t="shared" si="54"/>
        <v>471</v>
      </c>
      <c r="B476" s="20" t="s">
        <v>41</v>
      </c>
      <c r="C476" s="22" t="s">
        <v>41</v>
      </c>
      <c r="D476" s="22" t="s">
        <v>41</v>
      </c>
      <c r="E476" s="20" t="s">
        <v>1785</v>
      </c>
      <c r="F476" s="21" t="s">
        <v>1786</v>
      </c>
      <c r="G476" s="20" t="s">
        <v>448</v>
      </c>
      <c r="H476" s="22" t="s">
        <v>249</v>
      </c>
      <c r="I476" s="23">
        <f t="shared" si="52"/>
        <v>50</v>
      </c>
      <c r="J476" s="23">
        <v>50</v>
      </c>
      <c r="K476" s="20"/>
      <c r="L476" s="20" t="s">
        <v>145</v>
      </c>
      <c r="M476" s="20">
        <v>50</v>
      </c>
      <c r="N476" s="20">
        <v>120</v>
      </c>
      <c r="O476" s="20">
        <v>50</v>
      </c>
      <c r="P476" s="22">
        <v>120</v>
      </c>
      <c r="Q476" s="21" t="s">
        <v>1787</v>
      </c>
      <c r="R476" s="20" t="s">
        <v>148</v>
      </c>
      <c r="S476" s="20" t="s">
        <v>148</v>
      </c>
      <c r="T476" s="20" t="s">
        <v>347</v>
      </c>
      <c r="U476" s="28"/>
    </row>
    <row r="477" ht="75" customHeight="1" spans="1:21">
      <c r="A477" s="20">
        <f t="shared" si="54"/>
        <v>472</v>
      </c>
      <c r="B477" s="20" t="s">
        <v>120</v>
      </c>
      <c r="C477" s="22" t="s">
        <v>120</v>
      </c>
      <c r="D477" s="22" t="s">
        <v>120</v>
      </c>
      <c r="E477" s="20" t="s">
        <v>1788</v>
      </c>
      <c r="F477" s="21" t="s">
        <v>1789</v>
      </c>
      <c r="G477" s="20" t="s">
        <v>448</v>
      </c>
      <c r="H477" s="22" t="s">
        <v>249</v>
      </c>
      <c r="I477" s="23">
        <f t="shared" si="52"/>
        <v>400</v>
      </c>
      <c r="J477" s="23">
        <v>400</v>
      </c>
      <c r="K477" s="20"/>
      <c r="L477" s="20" t="s">
        <v>145</v>
      </c>
      <c r="M477" s="20">
        <v>76237</v>
      </c>
      <c r="N477" s="20">
        <v>213150</v>
      </c>
      <c r="O477" s="20">
        <v>3330</v>
      </c>
      <c r="P477" s="22">
        <v>6649</v>
      </c>
      <c r="Q477" s="21" t="s">
        <v>1790</v>
      </c>
      <c r="R477" s="20" t="s">
        <v>148</v>
      </c>
      <c r="S477" s="20" t="s">
        <v>148</v>
      </c>
      <c r="T477" s="20" t="s">
        <v>347</v>
      </c>
      <c r="U477" s="33"/>
    </row>
  </sheetData>
  <sheetProtection formatCells="0" formatColumns="0" formatRows="0" insertRows="0" insertColumns="0" insertHyperlinks="0" deleteColumns="0" deleteRows="0" sort="0" autoFilter="0" pivotTables="0"/>
  <mergeCells count="17">
    <mergeCell ref="A2:U2"/>
    <mergeCell ref="G3:H3"/>
    <mergeCell ref="I3:K3"/>
    <mergeCell ref="M3:N3"/>
    <mergeCell ref="O3:P3"/>
    <mergeCell ref="A3:A4"/>
    <mergeCell ref="B3:B4"/>
    <mergeCell ref="C3:C4"/>
    <mergeCell ref="D3:D4"/>
    <mergeCell ref="E3:E4"/>
    <mergeCell ref="F3:F4"/>
    <mergeCell ref="L3:L4"/>
    <mergeCell ref="Q3:Q4"/>
    <mergeCell ref="R3:R4"/>
    <mergeCell ref="S3:S4"/>
    <mergeCell ref="T3:T4"/>
    <mergeCell ref="U3:U4"/>
  </mergeCells>
  <conditionalFormatting sqref="E319:F319">
    <cfRule type="expression" dxfId="0" priority="11">
      <formula>E319&lt;&gt;#REF!</formula>
    </cfRule>
  </conditionalFormatting>
  <conditionalFormatting sqref="J319">
    <cfRule type="expression" dxfId="0" priority="9">
      <formula>J319&lt;&gt;#REF!</formula>
    </cfRule>
  </conditionalFormatting>
  <dataValidations count="1">
    <dataValidation type="list" allowBlank="1" showInputMessage="1" showErrorMessage="1" sqref="L2">
      <formula1>#REF!</formula1>
    </dataValidation>
  </dataValidations>
  <printOptions horizontalCentered="1"/>
  <pageMargins left="0.554861111111111" right="0.554861111111111" top="1" bottom="1" header="0.5" footer="0.5"/>
  <pageSetup paperSize="8" scale="64" firstPageNumber="7" fitToHeight="0" orientation="landscape" useFirstPageNumber="1" horizontalDpi="600"/>
  <headerFooter differentOddEven="1">
    <oddFooter>&amp;R&amp;14  - &amp;P -</oddFooter>
    <evenFooter>&amp;L&amp;14  - &amp;P -</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4 1 3 6 0 6 9 3 7 " / > < f i l t e r D a t a   f i l t e r I D = " 4 4 1 8 6 4 3 2 3 " > < h i d d e n R a n g e   r o w F r o m = " 5 "   r o w T o = " 1 0 " / > < h i d d e n R a n g e   r o w F r o m = " 1 2 "   r o w T o = " 3 2 " / > < h i d d e n R a n g e   r o w F r o m = " 3 5 "   r o w T o = " 5 4 " / > < h i d d e n R a n g e   r o w F r o m = " 5 6 "   r o w T o = " 6 6 " / > < h i d d e n R a n g e   r o w F r o m = " 6 8 "   r o w T o = " 7 5 " / > < h i d d e n R a n g e   r o w F r o m = " 7 7 "   r o w T o = " 8 6 " / > < h i d d e n R a n g e   r o w F r o m = " 8 9 "   r o w T o = " 9 0 " / > < h i d d e n R a n g e   r o w F r o m = " 9 3 "   r o w T o = " 1 1 6 " / > < h i d d e n R a n g e   r o w F r o m = " 1 1 9 "   r o w T o = " 1 2 3 " / > < h i d d e n R a n g e   r o w F r o m = " 1 2 5 "   r o w T o = " 1 2 8 " / > < h i d d e n R a n g e   r o w F r o m = " 1 3 0 "   r o w T o = " 1 3 5 " / > < h i d d e n R a n g e   r o w F r o m = " 1 3 7 "   r o w T o = " 1 5 6 " / > < h i d d e n R a n g e   r o w F r o m = " 1 6 0 "   r o w T o = " 1 6 0 " / > < h i d d e n R a n g e   r o w F r o m = " 1 6 2 "   r o w T o = " 1 7 2 " / > < h i d d e n R a n g e   r o w F r o m = " 1 7 6 "   r o w T o = " 1 7 8 " / > < h i d d e n R a n g e   r o w F r o m = " 1 8 3 "   r o w T o = " 2 1 6 " / > < h i d d e n R a n g e   r o w F r o m = " 2 2 7 "   r o w T o = " 2 5 3 " / > < h i d d e n R a n g e   r o w F r o m = " 2 5 6 "   r o w T o = " 2 5 8 " / > < h i d d e n R a n g e   r o w F r o m = " 2 6 1 "   r o w T o = " 2 9 4 " / > < h i d d e n R a n g e   r o w F r o m = " 2 9 9 "   r o w T o = " 2 9 9 " / > < h i d d e n R a n g e   r o w F r o m = " 3 0 1 "   r o w T o = " 3 2 8 " / > < h i d d e n R a n g e   r o w F r o m = " 3 3 4 "   r o w T o = " 3 4 0 " / > < h i d d e n R a n g e   r o w F r o m = " 3 4 2 "   r o w T o = " 3 7 0 " / > < h i d d e n R a n g e   r o w F r o m = " 3 7 4 "   r o w T o = " 3 7 9 " / > < h i d d e n R a n g e   r o w F r o m = " 3 8 2 "   r o w T o = " 3 8 3 " / > < h i d d e n R a n g e   r o w F r o m = " 3 8 6 "   r o w T o = " 4 0 9 " / > < h i d d e n R a n g e   r o w F r o m = " 4 1 6 "   r o w T o = " 4 1 7 " / > < h i d d e n R a n g e   r o w F r o m = " 4 2 1 "   r o w T o = " 4 6 2 " / > < h i d d e n R a n g e   r o w F r o m = " 4 6 8 "   r o w T o = " 4 6 8 " / > < h i d d e n R a n g e   r o w F r o m = " 4 7 0 "   r o w T o = " 4 7 1 " / > < h i d d e n R a n g e   r o w F r o m = " 4 7 4 "   r o w T o = " 4 7 6 " / > < / f i l t e r D a t a > < f i l t e r D a t a   f i l t e r I D = " 2 6 4 5 9 2 8 0 3 " > < h i d d e n R a n g e   r o w F r o m = " 5 "   r o w T o = " 4 6 " / > < h i d d e n R a n g e   r o w F r o m = " 5 0 "   r o w T o = " 1 0 6 " / > < h i d d e n R a n g e   r o w F r o m = " 1 0 8 "   r o w T o = " 1 6 3 " / > < h i d d e n R a n g e   r o w F r o m = " 1 6 5 "   r o w T o = " 2 0 3 " / > < h i d d e n R a n g e   r o w F r o m = " 2 0 7 "   r o w T o = " 3 1 3 " / > < h i d d e n R a n g e   r o w F r o m = " 3 1 5 "   r o w T o = " 3 4 1 " / > < h i d d e n R a n g e   r o w F r o m = " 3 4 3 "   r o w T o = " 3 6 9 " / > < h i d d e n R a n g e   r o w F r o m = " 3 7 1 "   r o w T o = " 3 8 2 " / > < h i d d e n R a n g e   r o w F r o m = " 3 8 4 "   r o w T o = " 4 0 3 " / > < h i d d e n R a n g e   r o w F r o m = " 4 0 5 "   r o w T o = " 4 2 7 " / > < h i d d e n R a n g e   r o w F r o m = " 4 2 9 "   r o w T o = " 4 3 5 " / > < h i d d e n R a n g e   r o w F r o m = " 4 4 1 "   r o w T o = " 4 6 9 " / > < h i d d e n R a n g e   r o w F r o m = " 4 7 1 "   r o w T o = " 4 7 6 " / > < / f i l t e r D a t a > < f i l t e r D a t a   f i l t e r I D = " 4 6 1 8 7 3 9 0 4 " > < h i d d e n R a n g e   r o w F r o m = " 5 "   r o w T o = " 7 " / > < h i d d e n R a n g e   r o w F r o m = " 9 "   r o w T o = " 2 8 " / > < h i d d e n R a n g e   r o w F r o m = " 3 1 "   r o w T o = " 3 6 " / > < h i d d e n R a n g e   r o w F r o m = " 3 8 "   r o w T o = " 4 2 " / > < h i d d e n R a n g e   r o w F r o m = " 4 7 "   r o w T o = " 8 4 " / > < h i d d e n R a n g e   r o w F r o m = " 8 7 "   r o w T o = " 8 8 " / > < h i d d e n R a n g e   r o w F r o m = " 9 1 "   r o w T o = " 1 3 9 " / > < h i d d e n R a n g e   r o w F r o m = " 1 4 2 "   r o w T o = " 1 5 9 " / > < h i d d e n R a n g e   r o w F r o m = " 1 6 1 "   r o w T o = " 1 8 9 " / > < h i d d e n R a n g e   r o w F r o m = " 1 9 1 "   r o w T o = " 3 0 0 " / > < h i d d e n R a n g e   r o w F r o m = " 3 0 2 "   r o w T o = " 3 3 3 " / > < h i d d e n R a n g e   r o w F r o m = " 3 3 5 "   r o w T o = " 3 7 4 " / > < h i d d e n R a n g e   r o w F r o m = " 3 7 6 "   r o w T o = " 3 7 6 " / > < h i d d e n R a n g e   r o w F r o m = " 3 7 8 "   r o w T o = " 3 9 9 " / > < h i d d e n R a n g e   r o w F r o m = " 4 0 4 "   r o w T o = " 4 2 2 " / > < h i d d e n R a n g e   r o w F r o m = " 4 2 4 "   r o w T o = " 4 2 6 " / > < h i d d e n R a n g e   r o w F r o m = " 4 2 8 "   r o w T o = " 4 3 4 " / > < h i d d e n R a n g e   r o w F r o m = " 4 3 6 "   r o w T o = " 4 7 6 " / > < / f i l t e r D a t a > < f i l t e r D a t a   f i l t e r I D = " 5 2 9 9 7 1 9 6 2 " > < h i d d e n R a n g e   r o w F r o m = " 5 "   r o w T o = " 1 0 3 " / > < h i d d e n R a n g e   r o w F r o m = " 1 0 7 "   r o w T o = " 1 8 3 " / > < h i d d e n R a n g e   r o w F r o m = " 1 8 5 "   r o w T o = " 1 8 8 " / > < h i d d e n R a n g e   r o w F r o m = " 1 9 0 "   r o w T o = " 1 9 9 " / > < h i d d e n R a n g e   r o w F r o m = " 2 0 1 "   r o w T o = " 2 5 7 " / > < h i d d e n R a n g e   r o w F r o m = " 2 5 9 "   r o w T o = " 2 6 0 " / > < h i d d e n R a n g e   r o w F r o m = " 2 6 3 "   r o w T o = " 3 1 0 " / > < h i d d e n R a n g e   r o w F r o m = " 3 1 3 "   r o w T o = " 3 5 1 " / > < h i d d e n R a n g e   r o w F r o m = " 3 5 4 "   r o w T o = " 3 9 0 " / > < h i d d e n R a n g e   r o w F r o m = " 3 9 3 "   r o w T o = " 4 2 5 " / > < h i d d e n R a n g e   r o w F r o m = " 4 2 7 "   r o w T o = " 4 2 7 " / > < h i d d e n R a n g e   r o w F r o m = " 4 2 9 "   r o w T o = " 4 2 9 " / > < h i d d e n R a n g e   r o w F r o m = " 4 3 2 "   r o w T o = " 4 7 6 " / > < / f i l t e r D a t a > < f i l t e r D a t a   f i l t e r I D = " 3 0 3 5 8 4 3 0 4 " > < h i d d e n R a n g e   r o w F r o m = " 5 "   r o w T o = " 5 3 " / > < h i d d e n R a n g e   r o w F r o m = " 5 5 "   r o w T o = " 7 8 " / > < h i d d e n R a n g e   r o w F r o m = " 8 5 "   r o w T o = " 1 0 1 " / > < h i d d e n R a n g e   r o w F r o m = " 1 0 4 "   r o w T o = " 1 0 8 " / > < h i d d e n R a n g e   r o w F r o m = " 1 1 0 "   r o w T o = " 1 3 1 " / > < h i d d e n R a n g e   r o w F r o m = " 1 3 3 "   r o w T o = " 1 6 1 " / > < h i d d e n R a n g e   r o w F r o m = " 1 6 4 "   r o w T o = " 1 6 5 " / > < h i d d e n R a n g e   r o w F r o m = " 1 7 2 "   r o w T o = " 1 9 1 " / > < h i d d e n R a n g e   r o w F r o m = " 1 9 3 "   r o w T o = " 3 0 8 " / > < h i d d e n R a n g e   r o w F r o m = " 3 1 0 "   r o w T o = " 3 2 5 " / > < h i d d e n R a n g e   r o w F r o m = " 3 2 7 "   r o w T o = " 3 4 7 " / > < h i d d e n R a n g e   r o w F r o m = " 3 5 2 "   r o w T o = " 4 0 6 " / > < h i d d e n R a n g e   r o w F r o m = " 4 0 8 "   r o w T o = " 4 2 0 " / > < h i d d e n R a n g e   r o w F r o m = " 4 2 2 "   r o w T o = " 4 5 6 " / > < h i d d e n R a n g e   r o w F r o m = " 4 5 8 "   r o w T o = " 4 7 6 " / > < / f i l t e r D a t a > < f i l t e r D a t a   f i l t e r I D = " 5 3 8 4 0 0 6 0 5 " / > < f i l t e r D a t a   f i l t e r I D = " 3 6 9 0 5 5 6 1 1 " / > < a u t o f i l t e r I n f o   f i l t e r I D = " 3 0 3 5 8 4 3 0 4 " > < a u t o F i l t e r   x m l n s = " h t t p : / / s c h e m a s . o p e n x m l f o r m a t s . o r g / s p r e a d s h e e t m l / 2 0 0 6 / m a i n "   r e f = " A 5 : V 4 7 7 " > < f i l t e r C o l u m n   c o l I d = " 6 " > < c u s t o m F i l t e r s > < c u s t o m F i l t e r   o p e r a t o r = " e q u a l "   v a l = " �TG�" / > < / c u s t o m F i l t e r s > < / f i l t e r C o l u m n > < / a u t o F i l t e r > < / a u t o f i l t e r I n f o > < a u t o f i l t e r I n f o   f i l t e r I D = " 2 6 4 5 9 2 8 0 3 " > < a u t o F i l t e r   x m l n s = " h t t p : / / s c h e m a s . o p e n x m l f o r m a t s . o r g / s p r e a d s h e e t m l / 2 0 0 6 / m a i n "   r e f = " A 5 : V 4 7 7 " > < f i l t e r C o l u m n   c o l I d = " 6 " > < c u s t o m F i l t e r s > < c u s t o m F i l t e r   o p e r a t o r = " e q u a l "   v a l = " �ؚ�]G�" / > < / c u s t o m F i l t e r s > < / f i l t e r C o l u m n > < / a u t o F i l t e r > < / a u t o f i l t e r I n f o > < a u t o f i l t e r I n f o   f i l t e r I D = " 4 4 1 8 6 4 3 2 3 " > < a u t o F i l t e r   x m l n s = " h t t p : / / s c h e m a s . o p e n x m l f o r m a t s . o r g / s p r e a d s h e e t m l / 2 0 0 6 / m a i n "   r e f = " A 5 : V 4 7 7 " > < f i l t e r C o l u m n   c o l I d = " 6 " > < c u s t o m F i l t e r s > < c u s t o m F i l t e r   o p e r a t o r = " e q u a l "   v a l = " �^7�G�" / > < / c u s t o m F i l t e r s > < / f i l t e r C o l u m n > < / a u t o F i l t e r > < / a u t o f i l t e r I n f o > < a u t o f i l t e r I n f o   f i l t e r I D = " 5 2 9 9 7 1 9 6 2 " > < a u t o F i l t e r   x m l n s = " h t t p : / / s c h e m a s . o p e n x m l f o r m a t s . o r g / s p r e a d s h e e t m l / 2 0 0 6 / m a i n "   r e f = " A 5 : V 4 7 7 " > < f i l t e r C o l u m n   c o l I d = " 6 " > < c u s t o m F i l t e r s > < c u s t o m F i l t e r   o p e r a t o r = " e q u a l "   v a l = " n4lG�" / > < / c u s t o m F i l t e r s > < / f i l t e r C o l u m n > < / a u t o F i l t e r > < / a u t o f i l t e r I n f o > < a u t o f i l t e r I n f o   f i l t e r I D = " 4 6 1 8 7 3 9 0 4 " > < a u t o F i l t e r   x m l n s = " h t t p : / / s c h e m a s . o p e n x m l f o r m a t s . o r g / s p r e a d s h e e t m l / 2 0 0 6 / m a i n "   r e f = " A 5 : V 4 7 7 " > < f i l t e r C o l u m n   c o l I d = " 6 " > < c u s t o m F i l t e r s > < c u s t o m F i l t e r   o p e r a t o r = " e q u a l "   v a l = " d[q\G�" / > < / c u s t o m F i l t e r s > < / f i l t e r C o l u m n > < / a u t o F i l t e r > < / a u t o f i l t e r I n f o > < / s h e e t I t e m > < / a u t o f i l t e r s > 
</file>

<file path=customXml/item2.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f i l e I d = " 3 9 3 2 0 3 0 8 2 3 8 8 "   i s F i l t e r S h a r e d = " 0 "   c o r e C o n q u e r U s e r I d = " 4 1 3 6 0 6 9 3 7 "   i s A u t o U p d a t e P a u s e d = " 0 "   f i l t e r T y p e = " u s e r "   i s M e r g e T a s k s A u t o U p d a t e = " 0 "   i s I n s e r P i c A s A t t a c h m e n t = " 0 " / > < / w o B o o k P r o p s > < / w o P r o p s > 
</file>

<file path=customXml/item3.xml>��< ? x m l   v e r s i o n = " 1 . 0 "   s t a n d a l o n e = " y e s " ? > < p i x e l a t o r s   x m l n s = " h t t p s : / / w e b . w p s . c n / e t / 2 0 1 8 / m a i n "   x m l n s : s = " h t t p : / / s c h e m a s . o p e n x m l f o r m a t s . o r g / s p r e a d s h e e t m l / 2 0 0 6 / m a i n " > < p i x e l a t o r L i s t   s h e e t S t i d = " 4 " / > < p i x e l a t o r L i s t   s h e e t S t i d = " 2 " / > < p i x e l a t o r L i s t   s h e e t S t i d = " 5 " / > < / 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WWO_wpscloud_20250409201303-77eb418d75</Application>
  <HeadingPairs>
    <vt:vector size="2" baseType="variant">
      <vt:variant>
        <vt:lpstr>工作表</vt:lpstr>
      </vt:variant>
      <vt:variant>
        <vt:i4>2</vt:i4>
      </vt:variant>
    </vt:vector>
  </HeadingPairs>
  <TitlesOfParts>
    <vt:vector size="2" baseType="lpstr">
      <vt:lpstr>项目库汇总表</vt:lpstr>
      <vt:lpstr>项目库明细总表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Spen</cp:lastModifiedBy>
  <dcterms:created xsi:type="dcterms:W3CDTF">2023-01-31T11:11:00Z</dcterms:created>
  <dcterms:modified xsi:type="dcterms:W3CDTF">2025-05-13T07:49:59Z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803B80B53DC8403885A4E1AB1657D70A_13</vt:lpwstr>
  </property>
  <property fmtid="{D5CDD505-2E9C-101B-9397-08002B2CF9AE}" pid="3" name="KSOProductBuildVer">
    <vt:lpwstr>2052-12.1.0.20784</vt:lpwstr>
  </property>
</Properties>
</file>